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Users/mari/Documents/Excel/オタライフ/あんスタ/Excel配布用/"/>
    </mc:Choice>
  </mc:AlternateContent>
  <xr:revisionPtr revIDLastSave="0" documentId="8_{0C2DBFA2-C896-B944-B44C-6340A6A60F7F}" xr6:coauthVersionLast="47" xr6:coauthVersionMax="47" xr10:uidLastSave="{00000000-0000-0000-0000-000000000000}"/>
  <bookViews>
    <workbookView xWindow="6700" yWindow="-20080" windowWidth="27460" windowHeight="17160" xr2:uid="{EEE496C5-1D16-AF4E-9A21-1D6F6A8BBCEF}"/>
  </bookViews>
  <sheets>
    <sheet name="はじめにお読みください " sheetId="13" r:id="rId1"/>
    <sheet name="特効計算" sheetId="9" r:id="rId2"/>
    <sheet name="イベント開始時" sheetId="1" r:id="rId3"/>
    <sheet name="途中経過用" sheetId="11" r:id="rId4"/>
    <sheet name="イベント進捗" sheetId="10" r:id="rId5"/>
    <sheet name="【参考】特効倍率 " sheetId="7" r:id="rId6"/>
    <sheet name="特効計算用" sheetId="8" state="hidden" r:id="rId7"/>
    <sheet name="ツアイベ計算" sheetId="2" state="hidden" r:id="rId8"/>
    <sheet name="ツアイベ計算 (途中経過)" sheetId="12" state="hidden" r:id="rId9"/>
  </sheets>
  <definedNames>
    <definedName name="_xlnm.Print_Area" localSheetId="4">イベント進捗!$B$1:$K$35</definedName>
    <definedName name="_xlnm.Print_Area" localSheetId="0">'はじめにお読みください '!$B$1:$B$76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12" l="1"/>
  <c r="D36" i="12"/>
  <c r="C9" i="10" l="1"/>
  <c r="D9" i="10"/>
  <c r="E9" i="10"/>
  <c r="F9" i="10"/>
  <c r="G9" i="10"/>
  <c r="H9" i="10"/>
  <c r="I9" i="10"/>
  <c r="J9" i="10"/>
  <c r="K9" i="10"/>
  <c r="C10" i="10"/>
  <c r="C8" i="10"/>
  <c r="D8" i="10"/>
  <c r="E8" i="10"/>
  <c r="F8" i="10"/>
  <c r="G8" i="10"/>
  <c r="H8" i="10"/>
  <c r="I8" i="10"/>
  <c r="J8" i="10"/>
  <c r="K8" i="10"/>
  <c r="D10" i="10"/>
  <c r="E10" i="10"/>
  <c r="F10" i="10"/>
  <c r="G10" i="10"/>
  <c r="H10" i="10"/>
  <c r="I10" i="10"/>
  <c r="J10" i="10"/>
  <c r="K10" i="10"/>
  <c r="D62" i="9" l="1"/>
  <c r="G62" i="9" s="1"/>
  <c r="D61" i="9"/>
  <c r="G61" i="9" s="1"/>
  <c r="D60" i="9"/>
  <c r="G60" i="9" s="1"/>
  <c r="D59" i="9"/>
  <c r="G59" i="9" s="1"/>
  <c r="D58" i="9"/>
  <c r="G58" i="9" s="1"/>
  <c r="D31" i="9"/>
  <c r="G31" i="9" s="1"/>
  <c r="D30" i="9"/>
  <c r="G30" i="9" s="1"/>
  <c r="D29" i="9"/>
  <c r="G29" i="9" s="1"/>
  <c r="D28" i="9"/>
  <c r="G28" i="9" s="1"/>
  <c r="D27" i="9"/>
  <c r="G27" i="9" s="1"/>
  <c r="D54" i="9"/>
  <c r="G54" i="9" s="1"/>
  <c r="D53" i="9"/>
  <c r="G53" i="9" s="1"/>
  <c r="D52" i="9"/>
  <c r="G52" i="9" s="1"/>
  <c r="D51" i="9"/>
  <c r="G51" i="9" s="1"/>
  <c r="D50" i="9"/>
  <c r="F50" i="9" s="1"/>
  <c r="G50" i="9" l="1"/>
  <c r="D45" i="12" l="1"/>
  <c r="D29" i="12"/>
  <c r="D24" i="12"/>
  <c r="D19" i="12"/>
  <c r="D18" i="12"/>
  <c r="D14" i="12"/>
  <c r="D13" i="12"/>
  <c r="D43" i="2"/>
  <c r="G22" i="12" l="1"/>
  <c r="D7" i="12" l="1"/>
  <c r="G31" i="12"/>
  <c r="G8" i="12" s="1"/>
  <c r="D27" i="12"/>
  <c r="E18" i="11"/>
  <c r="D27" i="2"/>
  <c r="G29" i="2" s="1"/>
  <c r="F62" i="9"/>
  <c r="F52" i="9"/>
  <c r="F51" i="9"/>
  <c r="G9" i="12" l="1"/>
  <c r="C15" i="12"/>
  <c r="D15" i="12"/>
  <c r="G32" i="12"/>
  <c r="G16" i="12"/>
  <c r="G25" i="12" s="1"/>
  <c r="F59" i="9"/>
  <c r="F61" i="9"/>
  <c r="F58" i="9"/>
  <c r="F53" i="9"/>
  <c r="G63" i="9"/>
  <c r="F54" i="9"/>
  <c r="F60" i="9"/>
  <c r="G34" i="12" l="1"/>
  <c r="G55" i="9"/>
  <c r="G40" i="12" l="1"/>
  <c r="G38" i="12"/>
  <c r="G41" i="12" l="1"/>
  <c r="E32" i="11"/>
  <c r="K5" i="10" l="1"/>
  <c r="J5" i="10"/>
  <c r="I5" i="10"/>
  <c r="H5" i="10"/>
  <c r="G5" i="10"/>
  <c r="F5" i="10"/>
  <c r="E5" i="10"/>
  <c r="D5" i="10"/>
  <c r="C5" i="10"/>
  <c r="C4" i="10"/>
  <c r="D4" i="10" s="1"/>
  <c r="E4" i="10" s="1"/>
  <c r="F4" i="10" s="1"/>
  <c r="G4" i="10" s="1"/>
  <c r="H4" i="10" s="1"/>
  <c r="I4" i="10" s="1"/>
  <c r="J4" i="10" s="1"/>
  <c r="K4" i="10" s="1"/>
  <c r="D39" i="9" l="1"/>
  <c r="D38" i="9"/>
  <c r="G38" i="9" s="1"/>
  <c r="D37" i="9"/>
  <c r="D36" i="9"/>
  <c r="D35" i="9"/>
  <c r="F28" i="9"/>
  <c r="D17" i="9"/>
  <c r="D16" i="9"/>
  <c r="D15" i="9"/>
  <c r="D14" i="9"/>
  <c r="D13" i="9"/>
  <c r="D9" i="9"/>
  <c r="G9" i="9" s="1"/>
  <c r="D8" i="9"/>
  <c r="D7" i="9"/>
  <c r="D6" i="9"/>
  <c r="F6" i="9" s="1"/>
  <c r="D5" i="9"/>
  <c r="H7" i="8"/>
  <c r="H6" i="8"/>
  <c r="H5" i="8"/>
  <c r="H4" i="8"/>
  <c r="G14" i="9" l="1"/>
  <c r="G8" i="9"/>
  <c r="G13" i="9"/>
  <c r="G35" i="9"/>
  <c r="G36" i="9"/>
  <c r="G37" i="9"/>
  <c r="G15" i="9"/>
  <c r="G16" i="9"/>
  <c r="G17" i="9"/>
  <c r="G5" i="9"/>
  <c r="G7" i="9"/>
  <c r="G39" i="9"/>
  <c r="F35" i="9"/>
  <c r="G6" i="9"/>
  <c r="F29" i="9"/>
  <c r="F17" i="9"/>
  <c r="F14" i="9"/>
  <c r="F8" i="9"/>
  <c r="F38" i="9"/>
  <c r="F39" i="9"/>
  <c r="F30" i="9"/>
  <c r="F36" i="9"/>
  <c r="F16" i="9"/>
  <c r="F27" i="9"/>
  <c r="F9" i="9"/>
  <c r="F15" i="9"/>
  <c r="F31" i="9"/>
  <c r="F37" i="9"/>
  <c r="F5" i="9"/>
  <c r="F7" i="9"/>
  <c r="F13" i="9"/>
  <c r="G32" i="9" l="1"/>
  <c r="G18" i="9"/>
  <c r="G40" i="9"/>
  <c r="G10" i="9"/>
  <c r="E20" i="9"/>
  <c r="E65" i="9" l="1"/>
  <c r="E67" i="9" s="1"/>
  <c r="E42" i="9"/>
  <c r="E21" i="9"/>
  <c r="E43" i="9" s="1"/>
  <c r="E14" i="1" s="1"/>
  <c r="E22" i="9"/>
  <c r="G12" i="1"/>
  <c r="E44" i="1"/>
  <c r="E44" i="9" l="1"/>
  <c r="E12" i="1"/>
  <c r="E66" i="9"/>
  <c r="E16" i="1" s="1"/>
  <c r="C28" i="2" s="1"/>
  <c r="E22" i="11"/>
  <c r="E20" i="11"/>
  <c r="G13" i="1"/>
  <c r="C18" i="2"/>
  <c r="D16" i="12"/>
  <c r="D22" i="2"/>
  <c r="D17" i="2"/>
  <c r="D16" i="2"/>
  <c r="D12" i="2"/>
  <c r="D11" i="2"/>
  <c r="D28" i="2" l="1"/>
  <c r="D29" i="2" s="1"/>
  <c r="C30" i="12"/>
  <c r="D30" i="12"/>
  <c r="D31" i="12" s="1"/>
  <c r="C20" i="12"/>
  <c r="D20" i="12"/>
  <c r="D21" i="12" s="1"/>
  <c r="D25" i="2"/>
  <c r="G20" i="2"/>
  <c r="G14" i="2"/>
  <c r="D32" i="12" l="1"/>
  <c r="D8" i="12"/>
  <c r="D9" i="12" s="1"/>
  <c r="D22" i="12"/>
  <c r="D25" i="12" s="1"/>
  <c r="D30" i="2"/>
  <c r="G30" i="2"/>
  <c r="C13" i="2"/>
  <c r="D34" i="12" l="1"/>
  <c r="D40" i="12" s="1"/>
  <c r="D18" i="2"/>
  <c r="D19" i="2" s="1"/>
  <c r="D13" i="2"/>
  <c r="D14" i="2" s="1"/>
  <c r="D41" i="12" l="1"/>
  <c r="E31" i="11"/>
  <c r="E27" i="11"/>
  <c r="E48" i="11" s="1"/>
  <c r="D38" i="12"/>
  <c r="G23" i="2"/>
  <c r="G32" i="2" s="1"/>
  <c r="G34" i="2" s="1"/>
  <c r="D20" i="2"/>
  <c r="D23" i="2" s="1"/>
  <c r="E38" i="11" l="1"/>
  <c r="E49" i="11"/>
  <c r="D44" i="12"/>
  <c r="G45" i="12" s="1"/>
  <c r="G38" i="2"/>
  <c r="G36" i="2"/>
  <c r="D32" i="2"/>
  <c r="D34" i="2" s="1"/>
  <c r="D46" i="12" l="1"/>
  <c r="D36" i="2"/>
  <c r="D42" i="2" s="1"/>
  <c r="G43" i="2" s="1"/>
  <c r="E21" i="1"/>
  <c r="D38" i="2"/>
  <c r="G39" i="2"/>
  <c r="E26" i="1"/>
  <c r="D47" i="12" l="1"/>
  <c r="G46" i="12"/>
  <c r="E43" i="1"/>
  <c r="D44" i="2"/>
  <c r="E25" i="1"/>
  <c r="E32" i="1" s="1"/>
  <c r="D39" i="2"/>
  <c r="E29" i="11"/>
  <c r="E42" i="1"/>
  <c r="E23" i="1"/>
  <c r="G47" i="12" l="1"/>
  <c r="D48" i="12" s="1"/>
  <c r="G48" i="12" s="1"/>
  <c r="G44" i="2"/>
  <c r="E39" i="1"/>
  <c r="D49" i="12" l="1"/>
  <c r="E46" i="11" s="1"/>
  <c r="D45" i="2"/>
  <c r="G45" i="2" s="1"/>
  <c r="G47" i="11" l="1"/>
  <c r="E47" i="11"/>
  <c r="D46" i="2"/>
  <c r="D47" i="2" s="1"/>
  <c r="E40" i="1" s="1"/>
  <c r="G46" i="2" l="1"/>
  <c r="E41" i="1"/>
  <c r="G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E11" authorId="0" shapeId="0" xr:uid="{7E61E7C2-4C01-C040-B8A0-F67FAE8C55B5}">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 ref="E13" authorId="0" shapeId="0" xr:uid="{F0934232-B773-6B48-9317-7DBD45DFDF8D}">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 ref="E15" authorId="0" shapeId="0" xr:uid="{0514C87D-D28B-B34D-A38A-C90B97353892}">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
  </authors>
  <commentList>
    <comment ref="E17" authorId="0" shapeId="0" xr:uid="{F67047E0-B973-6A42-A0C0-DC9DCD95FBB9}">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 ref="E19" authorId="0" shapeId="0" xr:uid="{B9D2B922-F471-E44E-B26E-3E3038D0D9DA}">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 ref="E21" authorId="0" shapeId="0" xr:uid="{F004B985-4953-E746-BB11-C8108AF8DC59}">
      <text>
        <r>
          <rPr>
            <sz val="10"/>
            <color rgb="FF000000"/>
            <rFont val="Yu Gothic UI"/>
          </rPr>
          <t>このセルに入力した倍率が</t>
        </r>
        <r>
          <rPr>
            <sz val="10"/>
            <color rgb="FF000000"/>
            <rFont val="Yu Gothic UI"/>
          </rPr>
          <t xml:space="preserve">
</t>
        </r>
        <r>
          <rPr>
            <sz val="10"/>
            <color rgb="FF000000"/>
            <rFont val="Yu Gothic UI"/>
          </rPr>
          <t>優先反映されます</t>
        </r>
      </text>
    </comment>
  </commentList>
</comments>
</file>

<file path=xl/sharedStrings.xml><?xml version="1.0" encoding="utf-8"?>
<sst xmlns="http://schemas.openxmlformats.org/spreadsheetml/2006/main" count="506" uniqueCount="219">
  <si>
    <t>%</t>
    <phoneticPr fontId="1"/>
  </si>
  <si>
    <t>スコアボーナス</t>
    <phoneticPr fontId="1"/>
  </si>
  <si>
    <t>万</t>
    <rPh sb="0" eb="1">
      <t>マｎ</t>
    </rPh>
    <phoneticPr fontId="1"/>
  </si>
  <si>
    <t>万ポイント</t>
    <rPh sb="0" eb="1">
      <t>マｎ</t>
    </rPh>
    <phoneticPr fontId="1"/>
  </si>
  <si>
    <t>個</t>
    <rPh sb="0" eb="1">
      <t>コ</t>
    </rPh>
    <phoneticPr fontId="1"/>
  </si>
  <si>
    <t>使用BP</t>
    <rPh sb="0" eb="2">
      <t>シヨウ</t>
    </rPh>
    <phoneticPr fontId="1"/>
  </si>
  <si>
    <t>用意すべきダイヤ数</t>
    <phoneticPr fontId="1"/>
  </si>
  <si>
    <t>BP</t>
    <phoneticPr fontId="1"/>
  </si>
  <si>
    <t>1枚</t>
  </si>
  <si>
    <t>5枚</t>
  </si>
  <si>
    <t>獲得予定ホイッスル</t>
    <phoneticPr fontId="1"/>
  </si>
  <si>
    <t>獲得予定ダイヤ</t>
    <rPh sb="0" eb="1">
      <t>カクトクヨテイ</t>
    </rPh>
    <phoneticPr fontId="1"/>
  </si>
  <si>
    <t>現在所有ダイヤ</t>
    <rPh sb="0" eb="1">
      <t>ゲンザイショユウダイヤ</t>
    </rPh>
    <phoneticPr fontId="1"/>
  </si>
  <si>
    <t>あと</t>
    <phoneticPr fontId="1"/>
  </si>
  <si>
    <t>枚数</t>
  </si>
  <si>
    <t>★3</t>
  </si>
  <si>
    <t>★4</t>
  </si>
  <si>
    <t>★5</t>
  </si>
  <si>
    <t>2枚</t>
  </si>
  <si>
    <t>3枚</t>
  </si>
  <si>
    <t>4枚</t>
  </si>
  <si>
    <t>カード枚数</t>
  </si>
  <si>
    <t>時間</t>
    <rPh sb="0" eb="2">
      <t>ジカｎ</t>
    </rPh>
    <phoneticPr fontId="1"/>
  </si>
  <si>
    <t>【おまけ】</t>
    <phoneticPr fontId="1"/>
  </si>
  <si>
    <t>★5</t>
    <phoneticPr fontId="1"/>
  </si>
  <si>
    <t>★4</t>
    <phoneticPr fontId="1"/>
  </si>
  <si>
    <t>★3</t>
    <phoneticPr fontId="1"/>
  </si>
  <si>
    <t>合計</t>
    <rPh sb="0" eb="2">
      <t>ゴウケイ</t>
    </rPh>
    <phoneticPr fontId="1"/>
  </si>
  <si>
    <t>反映倍率</t>
    <phoneticPr fontId="1"/>
  </si>
  <si>
    <t>セルの文字が「####」になるときはセルの幅を広げてください</t>
    <rPh sb="0" eb="30">
      <t>ヒロゲテクダサイ</t>
    </rPh>
    <phoneticPr fontId="1"/>
  </si>
  <si>
    <t>一日に使える自然回復BP</t>
    <rPh sb="0" eb="4">
      <t>シゼンカイフク</t>
    </rPh>
    <phoneticPr fontId="1"/>
  </si>
  <si>
    <t>【使い方】</t>
    <phoneticPr fontId="1"/>
  </si>
  <si>
    <t>pt</t>
    <phoneticPr fontId="1"/>
  </si>
  <si>
    <t>ファン人数</t>
    <phoneticPr fontId="1"/>
  </si>
  <si>
    <t>人</t>
    <rPh sb="0" eb="1">
      <t>ニｎ</t>
    </rPh>
    <phoneticPr fontId="1"/>
  </si>
  <si>
    <t>獲得ファン人数（１人あたり）</t>
    <phoneticPr fontId="1"/>
  </si>
  <si>
    <t>連までに特効が引けると得</t>
    <rPh sb="0" eb="1">
      <t>レｎ</t>
    </rPh>
    <phoneticPr fontId="1"/>
  </si>
  <si>
    <t>なにか不具合等ございましたら</t>
    <rPh sb="0" eb="3">
      <t>フグアイ</t>
    </rPh>
    <phoneticPr fontId="1"/>
  </si>
  <si>
    <t>X（旧Twitter）</t>
    <rPh sb="0" eb="1">
      <t>キュウ</t>
    </rPh>
    <phoneticPr fontId="1"/>
  </si>
  <si>
    <t>お問合せフォーム</t>
    <phoneticPr fontId="1"/>
  </si>
  <si>
    <t>等からご連絡いただけますと幸いです。</t>
    <rPh sb="0" eb="1">
      <t>サイワイデス</t>
    </rPh>
    <phoneticPr fontId="1"/>
  </si>
  <si>
    <t>著作権は放棄しておりません。</t>
    <rPh sb="0" eb="2">
      <t>ホウキシテオリマセｎ</t>
    </rPh>
    <phoneticPr fontId="1"/>
  </si>
  <si>
    <t>再配布・改変後の再配布・自作発言等は禁止です。</t>
    <rPh sb="0" eb="3">
      <t>・カイヘｎ</t>
    </rPh>
    <phoneticPr fontId="1"/>
  </si>
  <si>
    <t>実際の結果と異なる場合でも責任は負いかねます。</t>
    <rPh sb="0" eb="2">
      <t>。</t>
    </rPh>
    <phoneticPr fontId="1"/>
  </si>
  <si>
    <t>ご了承の上ご利用ください。</t>
    <rPh sb="0" eb="2">
      <t>。</t>
    </rPh>
    <phoneticPr fontId="1"/>
  </si>
  <si>
    <t>【はじめに】</t>
    <phoneticPr fontId="1"/>
  </si>
  <si>
    <t>このツールがお役に立てた際にはSNS等でシェアしていただけると嬉しいです。</t>
    <rPh sb="0" eb="1">
      <t>タテタトウ</t>
    </rPh>
    <phoneticPr fontId="1"/>
  </si>
  <si>
    <t>シェアしていただける場合は、下記配布ページのURLを共有していただけますと幸いです。</t>
    <rPh sb="0" eb="2">
      <t>カキ</t>
    </rPh>
    <phoneticPr fontId="1"/>
  </si>
  <si>
    <t>https://x.com/lop_0125</t>
    <phoneticPr fontId="1"/>
  </si>
  <si>
    <t>https://ota-life.com/contact/</t>
    <phoneticPr fontId="1"/>
  </si>
  <si>
    <t>黄色・赤色のセルに入力すると、青色セルに結果が表示されます。</t>
    <rPh sb="0" eb="2">
      <t>ニ</t>
    </rPh>
    <phoneticPr fontId="1"/>
  </si>
  <si>
    <t>使い方もこちらのページからご覧いただけます。</t>
    <rPh sb="0" eb="1">
      <t>。</t>
    </rPh>
    <phoneticPr fontId="1"/>
  </si>
  <si>
    <t>計算結果はあくまでも目安になります。</t>
    <rPh sb="0" eb="18">
      <t>。メヤス</t>
    </rPh>
    <phoneticPr fontId="1"/>
  </si>
  <si>
    <t>トータル使用BP</t>
    <rPh sb="0" eb="8">
      <t>シヨウ</t>
    </rPh>
    <phoneticPr fontId="1"/>
  </si>
  <si>
    <t>１〜３曲目</t>
    <rPh sb="0" eb="2">
      <t>キョクメ</t>
    </rPh>
    <phoneticPr fontId="1"/>
  </si>
  <si>
    <t>４曲目</t>
    <phoneticPr fontId="1"/>
  </si>
  <si>
    <t>楽曲スコア</t>
    <phoneticPr fontId="1"/>
  </si>
  <si>
    <t>1〜3曲目</t>
    <phoneticPr fontId="1"/>
  </si>
  <si>
    <t>4曲目</t>
    <phoneticPr fontId="1"/>
  </si>
  <si>
    <t>必要公演数</t>
    <rPh sb="0" eb="2">
      <t>ヒツヨウ</t>
    </rPh>
    <phoneticPr fontId="1"/>
  </si>
  <si>
    <t>（特効なしの場合）</t>
    <rPh sb="0" eb="1">
      <t>トッコウナシ</t>
    </rPh>
    <phoneticPr fontId="1"/>
  </si>
  <si>
    <t>1~3曲目</t>
    <rPh sb="0" eb="2">
      <t>キョクメ</t>
    </rPh>
    <phoneticPr fontId="1"/>
  </si>
  <si>
    <t>基本イベントポイント</t>
    <phoneticPr fontId="1"/>
  </si>
  <si>
    <t>基本イベントポイント</t>
    <rPh sb="0" eb="2">
      <t>キホｎ</t>
    </rPh>
    <phoneticPr fontId="1"/>
  </si>
  <si>
    <t>FEVERボーナス</t>
    <phoneticPr fontId="1"/>
  </si>
  <si>
    <t>特効ポイント</t>
    <phoneticPr fontId="1"/>
  </si>
  <si>
    <t>合計ポイント</t>
    <phoneticPr fontId="1"/>
  </si>
  <si>
    <t>特効ポイント</t>
    <rPh sb="0" eb="1">
      <t>トッコウコミポイント</t>
    </rPh>
    <phoneticPr fontId="1"/>
  </si>
  <si>
    <t>FEVER値</t>
    <rPh sb="0" eb="1">
      <t>チ</t>
    </rPh>
    <phoneticPr fontId="1"/>
  </si>
  <si>
    <t>合計ポイント</t>
    <rPh sb="0" eb="2">
      <t>ゴウケイ</t>
    </rPh>
    <phoneticPr fontId="1"/>
  </si>
  <si>
    <t>１公演計</t>
    <rPh sb="0" eb="1">
      <t>ケイ</t>
    </rPh>
    <phoneticPr fontId="1"/>
  </si>
  <si>
    <t>獲得ポイント</t>
    <phoneticPr fontId="1"/>
  </si>
  <si>
    <t>セット</t>
    <phoneticPr fontId="1"/>
  </si>
  <si>
    <t>1日あたりの目標ポイント数</t>
    <rPh sb="0" eb="2">
      <t>モクヒョウ</t>
    </rPh>
    <phoneticPr fontId="1"/>
  </si>
  <si>
    <t>万pt</t>
    <rPh sb="0" eb="1">
      <t>マｎ</t>
    </rPh>
    <phoneticPr fontId="1"/>
  </si>
  <si>
    <t>基本スカウト</t>
    <phoneticPr fontId="1"/>
  </si>
  <si>
    <t>星5カード1種、星4カード1種、星3カード1種以上のスカウトの場合</t>
    <rPh sb="0" eb="1">
      <t>ホシ５</t>
    </rPh>
    <phoneticPr fontId="1"/>
  </si>
  <si>
    <t>シャッフルスカウト</t>
    <phoneticPr fontId="1"/>
  </si>
  <si>
    <t>星5カード1種、星4カード1種、星3カードなしのスカウトの場合</t>
    <rPh sb="0" eb="1">
      <t>ホシ５</t>
    </rPh>
    <phoneticPr fontId="1"/>
  </si>
  <si>
    <t>星4二種（スカウトポートレイトなど）</t>
    <rPh sb="0" eb="2">
      <t>２シュ</t>
    </rPh>
    <phoneticPr fontId="1"/>
  </si>
  <si>
    <t>星5カード1種、★4カード1種、★3カード1種のスカウトの場合</t>
    <rPh sb="0" eb="1">
      <t>ホシ５</t>
    </rPh>
    <phoneticPr fontId="1"/>
  </si>
  <si>
    <t>星5二種（スカウト風変わりな終止たちなど）</t>
    <rPh sb="0" eb="2">
      <t>ニシュ</t>
    </rPh>
    <phoneticPr fontId="1"/>
  </si>
  <si>
    <t>星5カード2種、★4カード2種、★3カードなしのスカウトの場合</t>
    <rPh sb="0" eb="1">
      <t>ホシ５</t>
    </rPh>
    <phoneticPr fontId="1"/>
  </si>
  <si>
    <t>★4カード二種</t>
    <rPh sb="0" eb="2">
      <t>ニシュ</t>
    </rPh>
    <phoneticPr fontId="1"/>
  </si>
  <si>
    <t>★5カード二種</t>
    <rPh sb="0" eb="2">
      <t>ニシュ</t>
    </rPh>
    <phoneticPr fontId="1"/>
  </si>
  <si>
    <t>★4カード二種</t>
    <rPh sb="0" eb="1">
      <t>ニシュ</t>
    </rPh>
    <phoneticPr fontId="1"/>
  </si>
  <si>
    <t>★5カード二種</t>
    <rPh sb="0" eb="1">
      <t>ニシュ</t>
    </rPh>
    <phoneticPr fontId="1"/>
  </si>
  <si>
    <t>スカウトの種類</t>
    <phoneticPr fontId="1"/>
  </si>
  <si>
    <t>黄色セルを入力してください。</t>
    <rPh sb="0" eb="2">
      <t>キイロ</t>
    </rPh>
    <phoneticPr fontId="1"/>
  </si>
  <si>
    <t>カード枚数</t>
    <phoneticPr fontId="1"/>
  </si>
  <si>
    <t>スカウトの種類、特効倍率は「【参考】特効倍率」シートを御覧ください。</t>
    <phoneticPr fontId="1"/>
  </si>
  <si>
    <t>ライブに編成できるカードは最大7枚です。</t>
    <rPh sb="0" eb="2">
      <t>ヘンセイデキルカードハ</t>
    </rPh>
    <phoneticPr fontId="1"/>
  </si>
  <si>
    <t>【スカウトの種類】</t>
    <phoneticPr fontId="1"/>
  </si>
  <si>
    <t>・基本スカウト</t>
    <rPh sb="0" eb="1">
      <t>キホｎ</t>
    </rPh>
    <phoneticPr fontId="1"/>
  </si>
  <si>
    <t>→★5一種、★4一種、★3一種以上</t>
    <rPh sb="0" eb="1">
      <t>ホシ</t>
    </rPh>
    <phoneticPr fontId="1"/>
  </si>
  <si>
    <t>・シャッフルスカウト</t>
    <rPh sb="0" eb="1">
      <t>・</t>
    </rPh>
    <phoneticPr fontId="1"/>
  </si>
  <si>
    <t>→★5一種、★4一種、★3なし</t>
    <phoneticPr fontId="1"/>
  </si>
  <si>
    <t>・★4カード二種</t>
    <rPh sb="0" eb="2">
      <t>ニシュ</t>
    </rPh>
    <phoneticPr fontId="1"/>
  </si>
  <si>
    <t>→★5一種、★4二種、★3一種</t>
    <rPh sb="0" eb="2">
      <t>★5</t>
    </rPh>
    <phoneticPr fontId="1"/>
  </si>
  <si>
    <t>・★5カード二種</t>
    <rPh sb="0" eb="2">
      <t>ニシュ</t>
    </rPh>
    <phoneticPr fontId="1"/>
  </si>
  <si>
    <t>→★5二種、★4二種、★3なし</t>
    <rPh sb="0" eb="2">
      <t>ニシュ</t>
    </rPh>
    <phoneticPr fontId="1"/>
  </si>
  <si>
    <t>合計編成枚数</t>
    <rPh sb="0" eb="2">
      <t>ゴウケイ</t>
    </rPh>
    <phoneticPr fontId="1"/>
  </si>
  <si>
    <t>枚</t>
    <rPh sb="0" eb="1">
      <t>マイ</t>
    </rPh>
    <phoneticPr fontId="1"/>
  </si>
  <si>
    <t>名称にとらわれず、スカウトから排出されるカードの枚数を基準にスカウトの種類を選択してください。</t>
    <rPh sb="0" eb="2">
      <t>メイショウ</t>
    </rPh>
    <phoneticPr fontId="1"/>
  </si>
  <si>
    <t>シャッフルイベント連動スカウトは今後のイベント内容によってはスカウトで排出される</t>
    <rPh sb="0" eb="2">
      <t>レンドウ</t>
    </rPh>
    <phoneticPr fontId="1"/>
  </si>
  <si>
    <t>カードの枚数が変更になる可能性があります。</t>
    <rPh sb="0" eb="2">
      <t>ヘンコウ</t>
    </rPh>
    <phoneticPr fontId="1"/>
  </si>
  <si>
    <t>今までに実装された特効スカウトの倍率には対応しています。</t>
    <rPh sb="0" eb="2">
      <t>トッコウスカウト</t>
    </rPh>
    <phoneticPr fontId="1"/>
  </si>
  <si>
    <t>今後新たな倍率が実装された場合には順次対応予定です。</t>
    <rPh sb="0" eb="1">
      <t>アラタナバイリツ</t>
    </rPh>
    <phoneticPr fontId="1"/>
  </si>
  <si>
    <t>基本スカウト</t>
  </si>
  <si>
    <t>イベント開始日</t>
    <phoneticPr fontId="1"/>
  </si>
  <si>
    <t>mm/dd形式で入力してください</t>
    <rPh sb="0" eb="2">
      <t>ケイシキデニュウリョクシテクダサイ</t>
    </rPh>
    <phoneticPr fontId="1"/>
  </si>
  <si>
    <t>単位：万pt</t>
    <rPh sb="0" eb="2">
      <t>タンイ</t>
    </rPh>
    <phoneticPr fontId="1"/>
  </si>
  <si>
    <t>日別目標</t>
    <phoneticPr fontId="1"/>
  </si>
  <si>
    <t>目標まで</t>
    <phoneticPr fontId="1"/>
  </si>
  <si>
    <t>【「特効計算」シート】</t>
    <rPh sb="0" eb="1">
      <t>トッコウケイサｎ</t>
    </rPh>
    <phoneticPr fontId="1"/>
  </si>
  <si>
    <t>特効ボーナス対象スカウトが2つある場合、スカウトの種類ごとに入力します。</t>
    <rPh sb="0" eb="36">
      <t>ニュウリョクシマス</t>
    </rPh>
    <phoneticPr fontId="1"/>
  </si>
  <si>
    <t>特効なしの場合は入力不要です。</t>
    <rPh sb="0" eb="2">
      <t>ハ</t>
    </rPh>
    <phoneticPr fontId="1"/>
  </si>
  <si>
    <t>【「イベント進捗」シート】</t>
    <rPh sb="0" eb="2">
      <t>シンチョクトチュウケイカヨウ</t>
    </rPh>
    <phoneticPr fontId="1"/>
  </si>
  <si>
    <t>イベント進捗状況をグラフで確認できます。</t>
    <rPh sb="0" eb="2">
      <t>カクニンデキマス</t>
    </rPh>
    <phoneticPr fontId="1"/>
  </si>
  <si>
    <t>1~3曲目特効倍率</t>
    <rPh sb="3" eb="5">
      <t xml:space="preserve">キョクメ </t>
    </rPh>
    <phoneticPr fontId="1"/>
  </si>
  <si>
    <t>4曲目特効倍率</t>
    <rPh sb="2" eb="3">
      <t xml:space="preserve">メ </t>
    </rPh>
    <phoneticPr fontId="1"/>
  </si>
  <si>
    <t>←①と同じ特効を編成する場合はチェック</t>
    <rPh sb="3" eb="4">
      <t xml:space="preserve">オナジ </t>
    </rPh>
    <rPh sb="5" eb="7">
      <t xml:space="preserve">トッコウヲ </t>
    </rPh>
    <rPh sb="8" eb="10">
      <t xml:space="preserve">ヘンセイ </t>
    </rPh>
    <phoneticPr fontId="1"/>
  </si>
  <si>
    <t>①ツアーマップ1〜3曲目</t>
    <rPh sb="1" eb="8">
      <t>キョクメ</t>
    </rPh>
    <phoneticPr fontId="1"/>
  </si>
  <si>
    <t>②ツアーマップ4曲目</t>
    <rPh sb="1" eb="7">
      <t>キョクメ</t>
    </rPh>
    <phoneticPr fontId="1"/>
  </si>
  <si>
    <t>③イベント楽曲</t>
    <phoneticPr fontId="1"/>
  </si>
  <si>
    <t>イベント楽曲</t>
    <phoneticPr fontId="1"/>
  </si>
  <si>
    <t>万</t>
    <rPh sb="0" eb="1">
      <t xml:space="preserve">マｎ </t>
    </rPh>
    <phoneticPr fontId="1"/>
  </si>
  <si>
    <t>イベント楽曲</t>
    <rPh sb="0" eb="2">
      <t xml:space="preserve">イベントガッキョク </t>
    </rPh>
    <phoneticPr fontId="1"/>
  </si>
  <si>
    <t>特効倍率</t>
    <rPh sb="0" eb="4">
      <t xml:space="preserve">トッコウバイリツ </t>
    </rPh>
    <phoneticPr fontId="1"/>
  </si>
  <si>
    <t>目標ポイント</t>
    <phoneticPr fontId="1"/>
  </si>
  <si>
    <t>獲得PASS</t>
    <rPh sb="0" eb="2">
      <t xml:space="preserve">カクトク </t>
    </rPh>
    <phoneticPr fontId="1"/>
  </si>
  <si>
    <t>1公演あたり</t>
    <phoneticPr fontId="1"/>
  </si>
  <si>
    <t>枚</t>
    <rPh sb="0" eb="1">
      <t xml:space="preserve">マイ </t>
    </rPh>
    <phoneticPr fontId="1"/>
  </si>
  <si>
    <t>基本ポイント</t>
    <rPh sb="0" eb="2">
      <t xml:space="preserve">キホンポイント </t>
    </rPh>
    <phoneticPr fontId="1"/>
  </si>
  <si>
    <t>パス100あたり</t>
    <phoneticPr fontId="1"/>
  </si>
  <si>
    <t>特効ポイント</t>
    <rPh sb="0" eb="2">
      <t xml:space="preserve">トッコウポイント </t>
    </rPh>
    <phoneticPr fontId="1"/>
  </si>
  <si>
    <t>合計ポイント</t>
    <rPh sb="0" eb="2">
      <t xml:space="preserve">ゴウケイポイント </t>
    </rPh>
    <phoneticPr fontId="1"/>
  </si>
  <si>
    <t>1公演あたり</t>
    <rPh sb="1" eb="3">
      <t xml:space="preserve">コウエン </t>
    </rPh>
    <phoneticPr fontId="1"/>
  </si>
  <si>
    <t>pt相当</t>
    <rPh sb="2" eb="4">
      <t xml:space="preserve">ソウトウ </t>
    </rPh>
    <phoneticPr fontId="1"/>
  </si>
  <si>
    <t>1公演＋イベント楽曲</t>
    <phoneticPr fontId="1"/>
  </si>
  <si>
    <t>必要公演数</t>
    <rPh sb="0" eb="5">
      <t xml:space="preserve">ヒツヨウコウエンスウ </t>
    </rPh>
    <phoneticPr fontId="1"/>
  </si>
  <si>
    <t>公演</t>
    <rPh sb="0" eb="2">
      <t xml:space="preserve">コウエｎ </t>
    </rPh>
    <phoneticPr fontId="1"/>
  </si>
  <si>
    <t>獲得パス</t>
    <rPh sb="0" eb="2">
      <t xml:space="preserve">カクトクパス </t>
    </rPh>
    <phoneticPr fontId="1"/>
  </si>
  <si>
    <t>合計使用BP</t>
    <rPh sb="0" eb="2">
      <t xml:space="preserve">ゴウケイ </t>
    </rPh>
    <rPh sb="2" eb="4">
      <t xml:space="preserve">シヨウ </t>
    </rPh>
    <phoneticPr fontId="1"/>
  </si>
  <si>
    <t>ダイヤ数換算</t>
    <rPh sb="4" eb="6">
      <t xml:space="preserve">カンサｎ </t>
    </rPh>
    <phoneticPr fontId="1"/>
  </si>
  <si>
    <t>個</t>
    <rPh sb="0" eb="1">
      <t xml:space="preserve">コ </t>
    </rPh>
    <phoneticPr fontId="1"/>
  </si>
  <si>
    <t>特効なしの場合</t>
    <rPh sb="0" eb="2">
      <t xml:space="preserve">トッコウナシノバアイ </t>
    </rPh>
    <phoneticPr fontId="1"/>
  </si>
  <si>
    <t>万ポイント</t>
    <rPh sb="0" eb="1">
      <t xml:space="preserve">マｎ </t>
    </rPh>
    <phoneticPr fontId="1"/>
  </si>
  <si>
    <t>目標までのポイント数</t>
    <rPh sb="0" eb="2">
      <t xml:space="preserve">モクヒョウ </t>
    </rPh>
    <rPh sb="9" eb="10">
      <t xml:space="preserve">スウ </t>
    </rPh>
    <phoneticPr fontId="1"/>
  </si>
  <si>
    <t>パス所持分</t>
    <rPh sb="2" eb="5">
      <t xml:space="preserve">ショジブン </t>
    </rPh>
    <phoneticPr fontId="1"/>
  </si>
  <si>
    <t>残りポイント数</t>
    <rPh sb="0" eb="1">
      <t xml:space="preserve">ノコリポイント </t>
    </rPh>
    <rPh sb="6" eb="7">
      <t xml:space="preserve">スウ </t>
    </rPh>
    <phoneticPr fontId="1"/>
  </si>
  <si>
    <t>所持アイテム</t>
    <rPh sb="0" eb="2">
      <t xml:space="preserve">ショジ </t>
    </rPh>
    <phoneticPr fontId="1"/>
  </si>
  <si>
    <t>楽曲参加パス</t>
    <rPh sb="0" eb="4">
      <t xml:space="preserve">ガッキョクサンカパス </t>
    </rPh>
    <phoneticPr fontId="1"/>
  </si>
  <si>
    <t>メガホン</t>
    <phoneticPr fontId="1"/>
  </si>
  <si>
    <t>ホイッスル</t>
    <phoneticPr fontId="1"/>
  </si>
  <si>
    <t>予想自然回復BP</t>
    <rPh sb="0" eb="2">
      <t xml:space="preserve">ヨソウ </t>
    </rPh>
    <phoneticPr fontId="1"/>
  </si>
  <si>
    <t>パス消費数</t>
  </si>
  <si>
    <t>パス消費数</t>
    <phoneticPr fontId="1"/>
  </si>
  <si>
    <t>所持数</t>
    <rPh sb="0" eb="3">
      <t xml:space="preserve">ショジスウ </t>
    </rPh>
    <phoneticPr fontId="1"/>
  </si>
  <si>
    <t>消費数</t>
    <rPh sb="0" eb="3">
      <t xml:space="preserve">ショウヒスウ </t>
    </rPh>
    <phoneticPr fontId="1"/>
  </si>
  <si>
    <t>残り枚数</t>
    <rPh sb="0" eb="1">
      <t xml:space="preserve">ノコリ </t>
    </rPh>
    <rPh sb="2" eb="4">
      <t xml:space="preserve">マイスウ </t>
    </rPh>
    <phoneticPr fontId="1"/>
  </si>
  <si>
    <t>回</t>
    <rPh sb="0" eb="1">
      <t xml:space="preserve">カイ </t>
    </rPh>
    <phoneticPr fontId="1"/>
  </si>
  <si>
    <t>合計</t>
    <rPh sb="0" eb="2">
      <t xml:space="preserve">ゴウケイ </t>
    </rPh>
    <phoneticPr fontId="1"/>
  </si>
  <si>
    <t>イベント楽曲プレイ回数</t>
    <phoneticPr fontId="1"/>
  </si>
  <si>
    <t>合計プレイ時間</t>
    <rPh sb="0" eb="2">
      <t xml:space="preserve">ゴウケイプレイジカｎ </t>
    </rPh>
    <phoneticPr fontId="1"/>
  </si>
  <si>
    <t>時間</t>
    <rPh sb="0" eb="2">
      <t xml:space="preserve">ジカｎ </t>
    </rPh>
    <phoneticPr fontId="1"/>
  </si>
  <si>
    <t>分</t>
    <rPh sb="0" eb="1">
      <t xml:space="preserve">フｎ </t>
    </rPh>
    <phoneticPr fontId="1"/>
  </si>
  <si>
    <t>ライブでの獲得リボン数</t>
    <rPh sb="5" eb="7">
      <t xml:space="preserve">カクトクリボンスウ </t>
    </rPh>
    <phoneticPr fontId="1"/>
  </si>
  <si>
    <t>約</t>
    <rPh sb="0" eb="1">
      <t xml:space="preserve">ヤク </t>
    </rPh>
    <phoneticPr fontId="1"/>
  </si>
  <si>
    <t>1曲3分計算</t>
    <rPh sb="4" eb="6">
      <t xml:space="preserve">ケイサｎ </t>
    </rPh>
    <phoneticPr fontId="1"/>
  </si>
  <si>
    <t>スカウトの引き際</t>
    <rPh sb="5" eb="6">
      <t xml:space="preserve">ヒキギワ </t>
    </rPh>
    <phoneticPr fontId="1"/>
  </si>
  <si>
    <t>ツアープレイ時間</t>
    <phoneticPr fontId="1"/>
  </si>
  <si>
    <t>ライブでの獲得リボン数</t>
    <phoneticPr fontId="1"/>
  </si>
  <si>
    <t>スプレッドシートの場合</t>
    <phoneticPr fontId="1"/>
  </si>
  <si>
    <t>「ファイル」▷「コピーを作成」でコピーしてから利用してください。</t>
    <rPh sb="0" eb="2">
      <t>リヨウシテクダサイ</t>
    </rPh>
    <phoneticPr fontId="1"/>
  </si>
  <si>
    <t>リクエストを頂いても承認できません。</t>
    <rPh sb="0" eb="1">
      <t>イタダイテモショウニンデキマセｎ</t>
    </rPh>
    <phoneticPr fontId="1"/>
  </si>
  <si>
    <t>「ファイル」▷「ダウンロード」からExcel形式でのDLも可能です。</t>
    <rPh sb="0" eb="2">
      <t>ケイシキ</t>
    </rPh>
    <phoneticPr fontId="1"/>
  </si>
  <si>
    <t>黄色・赤色セルに入力すると、青色セルに結果が表示されます。</t>
    <rPh sb="0" eb="2">
      <t>ニ</t>
    </rPh>
    <phoneticPr fontId="1"/>
  </si>
  <si>
    <t>【「イベント開始時」シート】</t>
    <rPh sb="0" eb="1">
      <t>トッコウケイサｎ</t>
    </rPh>
    <phoneticPr fontId="1"/>
  </si>
  <si>
    <t>・目標ポイント</t>
    <rPh sb="0" eb="1">
      <t>・</t>
    </rPh>
    <phoneticPr fontId="1"/>
  </si>
  <si>
    <t>自分の目標ポイントを入力します。</t>
    <phoneticPr fontId="1"/>
  </si>
  <si>
    <t>「特効計算」シートに入力済みなら自動入力されます。</t>
    <phoneticPr fontId="1"/>
  </si>
  <si>
    <t>イレギュラーな特効ボーナスが実装された場合は、直接入力を使用してください。</t>
    <phoneticPr fontId="1"/>
  </si>
  <si>
    <t>・使用BP</t>
    <rPh sb="0" eb="1">
      <t>シヨウ</t>
    </rPh>
    <phoneticPr fontId="1"/>
  </si>
  <si>
    <t>通常ライブで使用するBPを選択します。</t>
    <phoneticPr fontId="1"/>
  </si>
  <si>
    <t>目標ポイント別のおすすめ使用BPは下記記事を参考にしてください。</t>
    <phoneticPr fontId="1"/>
  </si>
  <si>
    <t>ここまで入力すると、目標達成までに使用するBP数がわかります。</t>
    <phoneticPr fontId="1"/>
  </si>
  <si>
    <t>・一日に使える自然回復BP/獲得予定ホイッスル/獲得予定ダイヤ/現在所有ダイヤ</t>
    <rPh sb="0" eb="1">
      <t>イチニチニ</t>
    </rPh>
    <phoneticPr fontId="1"/>
  </si>
  <si>
    <t>入力は任意ですが、入力すると「あと何個ダイヤを用意するべきか」がわかります。</t>
    <phoneticPr fontId="1"/>
  </si>
  <si>
    <t>【「途中経過用」シート】</t>
    <rPh sb="0" eb="12">
      <t>トチュウケイカヨウ</t>
    </rPh>
    <phoneticPr fontId="1"/>
  </si>
  <si>
    <t>現時点から目標達成までにあとどれくらいかかるかを知ることができます。</t>
    <phoneticPr fontId="1"/>
  </si>
  <si>
    <t>イベント開始日、日別のポイント数を入力してください。</t>
    <rPh sb="0" eb="4">
      <t>イベントカイシビ</t>
    </rPh>
    <phoneticPr fontId="1"/>
  </si>
  <si>
    <t>未使用で所持しているイベント楽曲参加パスがあれば、所持数を入力することでパス分も含めたポイント数を計算できます。</t>
    <rPh sb="0" eb="3">
      <t>シテイル</t>
    </rPh>
    <phoneticPr fontId="1"/>
  </si>
  <si>
    <t>①ツアーマップ1〜3曲目・②ツアーマップ4曲目・③イベント楽曲それぞれ、スカウトの種類とカード枚数を選択します。</t>
    <phoneticPr fontId="1"/>
  </si>
  <si>
    <t>①と同じ特効を②・③でも使用する場合はチェックを入れることで入力を省略できます。</t>
    <rPh sb="2" eb="3">
      <t xml:space="preserve">オナジ </t>
    </rPh>
    <rPh sb="4" eb="6">
      <t xml:space="preserve">トッコウ </t>
    </rPh>
    <rPh sb="12" eb="14">
      <t xml:space="preserve">シヨウスルバアイ </t>
    </rPh>
    <rPh sb="24" eb="25">
      <t xml:space="preserve">イレル </t>
    </rPh>
    <rPh sb="30" eb="32">
      <t xml:space="preserve">ニュウリョクヲ </t>
    </rPh>
    <rPh sb="33" eb="35">
      <t xml:space="preserve">ショウリャクデキマス </t>
    </rPh>
    <phoneticPr fontId="1"/>
  </si>
  <si>
    <t>直接特効倍率を入力してご利用ください。</t>
    <rPh sb="0" eb="2">
      <t xml:space="preserve">チョクセツ </t>
    </rPh>
    <rPh sb="2" eb="6">
      <t xml:space="preserve">トッコウバイリツヲ </t>
    </rPh>
    <rPh sb="7" eb="9">
      <t xml:space="preserve">ニュウリョク </t>
    </rPh>
    <phoneticPr fontId="1"/>
  </si>
  <si>
    <t>それぞれ特効カードが合計7枚以内になるように調整してください。</t>
    <rPh sb="4" eb="6">
      <t xml:space="preserve">トッコウ </t>
    </rPh>
    <phoneticPr fontId="1"/>
  </si>
  <si>
    <t>大型イベントの際は、通常のイベントより目標ポイント数が上昇する傾向があります。</t>
    <phoneticPr fontId="1"/>
  </si>
  <si>
    <t>・楽曲スコア</t>
    <rPh sb="1" eb="3">
      <t xml:space="preserve">ガッキョクスコア </t>
    </rPh>
    <phoneticPr fontId="1"/>
  </si>
  <si>
    <t>ツアーマップ1〜3曲目、ツアーマップ4曲目、イベント楽曲で取れるスコアの予想値を入力します。</t>
    <rPh sb="29" eb="30">
      <t xml:space="preserve">トレルスコア </t>
    </rPh>
    <rPh sb="36" eb="39">
      <t xml:space="preserve">ヨソウチ </t>
    </rPh>
    <rPh sb="40" eb="42">
      <t xml:space="preserve">ニュウリョクシマス </t>
    </rPh>
    <phoneticPr fontId="1"/>
  </si>
  <si>
    <t>・特効倍率</t>
    <rPh sb="0" eb="1">
      <t>ツウジョウライブ</t>
    </rPh>
    <phoneticPr fontId="1"/>
  </si>
  <si>
    <t>「E11」「E13」「E15」セルは倍率の直接入力が可能です。</t>
    <phoneticPr fontId="1"/>
  </si>
  <si>
    <t>直接入力した値は優先反映されます。</t>
    <rPh sb="0" eb="4">
      <t xml:space="preserve">チョクセツニュウリョク </t>
    </rPh>
    <rPh sb="6" eb="7">
      <t xml:space="preserve">アタイ </t>
    </rPh>
    <rPh sb="8" eb="12">
      <t xml:space="preserve">ユウセンハンエイ </t>
    </rPh>
    <phoneticPr fontId="1"/>
  </si>
  <si>
    <t>ツアーマップ1〜3曲目、ツアーマップ4曲目、イベント楽曲の特効を入力します。</t>
    <rPh sb="9" eb="11">
      <t xml:space="preserve">キョクメ </t>
    </rPh>
    <rPh sb="29" eb="31">
      <t xml:space="preserve">トッコウ </t>
    </rPh>
    <phoneticPr fontId="1"/>
  </si>
  <si>
    <t>・FEVER値</t>
    <rPh sb="6" eb="7">
      <t xml:space="preserve">チ </t>
    </rPh>
    <phoneticPr fontId="1"/>
  </si>
  <si>
    <t>ツアーマップ4曲目のFEVER値を入力します。変更は任意です。（初期値100％）</t>
    <rPh sb="15" eb="16">
      <t xml:space="preserve">チ </t>
    </rPh>
    <rPh sb="17" eb="19">
      <t xml:space="preserve">ニュウリョクシマス </t>
    </rPh>
    <rPh sb="23" eb="25">
      <t xml:space="preserve">ヘンコウ </t>
    </rPh>
    <rPh sb="26" eb="28">
      <t xml:space="preserve">ニンイ </t>
    </rPh>
    <rPh sb="32" eb="35">
      <t xml:space="preserve">ショキチ </t>
    </rPh>
    <phoneticPr fontId="1"/>
  </si>
  <si>
    <t>参考）スコアS+で3曲フルコン→105％、3曲パフェコン→110％</t>
    <rPh sb="0" eb="2">
      <t xml:space="preserve">サンコウ </t>
    </rPh>
    <phoneticPr fontId="1"/>
  </si>
  <si>
    <t>イベント開始時から目標達成まで、どれくらいダイヤや時間が必要か計算できます。</t>
    <rPh sb="0" eb="2">
      <t>モクヒョウ</t>
    </rPh>
    <phoneticPr fontId="1"/>
  </si>
  <si>
    <t>該当するスカウトがない場合は「イベント開始時」「途中経過用」シートに</t>
    <rPh sb="0" eb="2">
      <t xml:space="preserve">ガイトウスル </t>
    </rPh>
    <rPh sb="24" eb="28">
      <t xml:space="preserve">トチュウケイカ </t>
    </rPh>
    <rPh sb="28" eb="29">
      <t xml:space="preserve">ヨウ </t>
    </rPh>
    <phoneticPr fontId="1"/>
  </si>
  <si>
    <t>「途中経過用」シートは、目標ポイント数・現在のポイント数・所持パス数などを入力することで、</t>
    <rPh sb="0" eb="2">
      <t>モクヒョウポイントスウ</t>
    </rPh>
    <phoneticPr fontId="1"/>
  </si>
  <si>
    <t>現在ポイント</t>
    <rPh sb="0" eb="2">
      <t xml:space="preserve">ゲンザイ </t>
    </rPh>
    <phoneticPr fontId="1"/>
  </si>
  <si>
    <t>「予想自然回復BP」は残りのイベント期間であと自然回復BPをあと何BP使用できるか予想値を入力してください。</t>
    <rPh sb="1" eb="3">
      <t xml:space="preserve">ヨソウ </t>
    </rPh>
    <rPh sb="3" eb="7">
      <t xml:space="preserve">シゼンカイフク </t>
    </rPh>
    <rPh sb="11" eb="12">
      <t xml:space="preserve">ノコリノ </t>
    </rPh>
    <rPh sb="18" eb="20">
      <t xml:space="preserve">キカｎ </t>
    </rPh>
    <rPh sb="23" eb="27">
      <t xml:space="preserve">シゼンカイフク </t>
    </rPh>
    <rPh sb="32" eb="33">
      <t xml:space="preserve">ナｎ </t>
    </rPh>
    <rPh sb="35" eb="37">
      <t xml:space="preserve">シヨウデキルカ </t>
    </rPh>
    <rPh sb="41" eb="44">
      <t xml:space="preserve">ヨソウチヲ </t>
    </rPh>
    <rPh sb="45" eb="47">
      <t xml:space="preserve">ニュウリョクシテクダサイ </t>
    </rPh>
    <phoneticPr fontId="1"/>
  </si>
  <si>
    <t>メガホン1個=ホイッスル10個として入力してください。</t>
    <rPh sb="18" eb="20">
      <t xml:space="preserve">ニュウリョクシテクダサイ </t>
    </rPh>
    <phoneticPr fontId="1"/>
  </si>
  <si>
    <t>https://ota-life.com/music-special-tour-excel/</t>
    <phoneticPr fontId="1"/>
  </si>
  <si>
    <t>ポイント数</t>
    <phoneticPr fontId="1"/>
  </si>
  <si>
    <t>所持パス数</t>
    <rPh sb="0" eb="2">
      <t xml:space="preserve">ショジパス </t>
    </rPh>
    <rPh sb="4" eb="5">
      <t xml:space="preserve">スウ </t>
    </rPh>
    <phoneticPr fontId="1"/>
  </si>
  <si>
    <t>パス込ポイント数</t>
    <rPh sb="7" eb="8">
      <t xml:space="preserve">スウ </t>
    </rPh>
    <phoneticPr fontId="1"/>
  </si>
  <si>
    <t>日別目標まで</t>
    <rPh sb="0" eb="2">
      <t xml:space="preserve">ヒベツ </t>
    </rPh>
    <rPh sb="2" eb="4">
      <t xml:space="preserve">ヒベツモクヒョウ </t>
    </rPh>
    <phoneticPr fontId="1"/>
  </si>
  <si>
    <t>イベント楽曲のスコア等は「イベント開始時」シートを参照します。</t>
    <rPh sb="0" eb="2">
      <t>サンショウシマス</t>
    </rPh>
    <rPh sb="10" eb="11">
      <t xml:space="preserve">トウ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</si>
</sst>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h]&quot;時間&quot;mm&quot;分&quot;"/>
    <numFmt numFmtId="177" formatCode="#,##0_);[Red]\(#,##0\)"/>
    <numFmt numFmtId="178" formatCode="#,##0.00_ "/>
    <numFmt numFmtId="180" formatCode="0.00_);[Red]\(0.00\)"/>
    <numFmt numFmtId="181" formatCode="0_);[Red]\(0\)"/>
    <numFmt numFmtId="182" formatCode="0_ "/>
    <numFmt numFmtId="188" formatCode="0_ ;[Red]\-0\ "/>
    <numFmt numFmtId="189" formatCode="#"/>
  </numFmts>
  <fonts count="18">
    <font>
      <sz val="12"/>
      <color theme="1"/>
      <name val="Meiryo"/>
      <family val="2"/>
      <charset val="128"/>
    </font>
    <font>
      <sz val="6"/>
      <name val="Meiryo"/>
      <family val="2"/>
      <charset val="128"/>
    </font>
    <font>
      <b/>
      <sz val="12"/>
      <color theme="1"/>
      <name val="Meiryo"/>
      <family val="2"/>
      <charset val="128"/>
    </font>
    <font>
      <sz val="12"/>
      <color theme="1"/>
      <name val="メイリオ"/>
      <family val="2"/>
      <charset val="128"/>
    </font>
    <font>
      <u/>
      <sz val="12"/>
      <color theme="10"/>
      <name val="Meiryo"/>
      <family val="2"/>
      <charset val="128"/>
    </font>
    <font>
      <sz val="10"/>
      <color rgb="FF000000"/>
      <name val="Yu Gothic UI"/>
    </font>
    <font>
      <sz val="12"/>
      <name val="Meiryo"/>
      <family val="2"/>
      <charset val="128"/>
    </font>
    <font>
      <b/>
      <sz val="14"/>
      <color theme="1"/>
      <name val="Meiryo"/>
      <family val="2"/>
      <charset val="128"/>
    </font>
    <font>
      <sz val="14"/>
      <color theme="1"/>
      <name val="Meiryo"/>
      <family val="2"/>
      <charset val="128"/>
    </font>
    <font>
      <b/>
      <sz val="14"/>
      <color theme="0"/>
      <name val="Meiryo"/>
      <family val="2"/>
      <charset val="128"/>
    </font>
    <font>
      <sz val="12"/>
      <name val="游ゴシック"/>
      <family val="3"/>
      <charset val="128"/>
    </font>
    <font>
      <sz val="12"/>
      <color theme="0"/>
      <name val="Meiryo"/>
      <family val="2"/>
      <charset val="128"/>
    </font>
    <font>
      <b/>
      <sz val="12"/>
      <name val="Meiryo"/>
      <family val="2"/>
      <charset val="128"/>
    </font>
    <font>
      <b/>
      <sz val="12"/>
      <color theme="0"/>
      <name val="Meiryo"/>
      <family val="2"/>
      <charset val="128"/>
    </font>
    <font>
      <b/>
      <sz val="18"/>
      <color theme="0"/>
      <name val="Meiryo"/>
      <family val="2"/>
      <charset val="128"/>
    </font>
    <font>
      <b/>
      <sz val="24"/>
      <color theme="1"/>
      <name val="Meiryo"/>
      <family val="2"/>
      <charset val="128"/>
    </font>
    <font>
      <b/>
      <sz val="14"/>
      <color theme="4" tint="-0.499984740745262"/>
      <name val="Meiryo"/>
      <family val="2"/>
      <charset val="128"/>
    </font>
    <font>
      <sz val="12"/>
      <color rgb="FFFF0000"/>
      <name val="Meiryo"/>
      <family val="2"/>
      <charset val="128"/>
    </font>
  </fonts>
  <fills count="8">
    <fill>
      <patternFill patternType="none"/>
    </fill>
    <fill>
      <patternFill patternType="gray125"/>
    </fill>
    <fill>
      <patternFill patternType="solid">
        <fgColor theme="7" tint="0.79998168889431442"/>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rgb="FFFEBAB3"/>
        <bgColor indexed="64"/>
      </patternFill>
    </fill>
    <fill>
      <patternFill patternType="solid">
        <fgColor theme="4" tint="-0.249977111117893"/>
        <bgColor indexed="64"/>
      </patternFill>
    </fill>
    <fill>
      <patternFill patternType="solid">
        <fgColor theme="4"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71">
    <xf numFmtId="0" fontId="0" fillId="0" borderId="0" xfId="0">
      <alignment vertical="center"/>
    </xf>
    <xf numFmtId="0" fontId="0" fillId="0" borderId="0" xfId="0" applyAlignment="1">
      <alignment horizontal="center" vertical="center"/>
    </xf>
    <xf numFmtId="0" fontId="0" fillId="0" borderId="1" xfId="0" applyBorder="1">
      <alignment vertical="center"/>
    </xf>
    <xf numFmtId="9" fontId="0" fillId="0" borderId="1" xfId="0" applyNumberFormat="1" applyBorder="1">
      <alignment vertical="center"/>
    </xf>
    <xf numFmtId="0" fontId="0" fillId="3" borderId="1" xfId="0" applyFill="1" applyBorder="1">
      <alignment vertical="center"/>
    </xf>
    <xf numFmtId="9" fontId="0" fillId="0" borderId="0" xfId="0" applyNumberFormat="1">
      <alignment vertical="center"/>
    </xf>
    <xf numFmtId="177" fontId="0" fillId="4" borderId="0" xfId="0" applyNumberFormat="1" applyFill="1">
      <alignment vertical="center"/>
    </xf>
    <xf numFmtId="177" fontId="0" fillId="0" borderId="0" xfId="0" applyNumberFormat="1">
      <alignment vertical="center"/>
    </xf>
    <xf numFmtId="0" fontId="2" fillId="0" borderId="0" xfId="0" applyFont="1">
      <alignment vertical="center"/>
    </xf>
    <xf numFmtId="0" fontId="0" fillId="5" borderId="2" xfId="0" applyFill="1" applyBorder="1" applyProtection="1">
      <alignment vertical="center"/>
      <protection locked="0"/>
    </xf>
    <xf numFmtId="180" fontId="0" fillId="0" borderId="0" xfId="0" applyNumberFormat="1">
      <alignment vertical="center"/>
    </xf>
    <xf numFmtId="0" fontId="0" fillId="0" borderId="0" xfId="0" applyAlignment="1">
      <alignment horizontal="centerContinuous" vertical="center"/>
    </xf>
    <xf numFmtId="181" fontId="0" fillId="0" borderId="0" xfId="0" applyNumberFormat="1">
      <alignment vertical="center"/>
    </xf>
    <xf numFmtId="0" fontId="0" fillId="0" borderId="0" xfId="0" applyProtection="1">
      <alignment vertical="center"/>
      <protection locked="0"/>
    </xf>
    <xf numFmtId="0" fontId="8" fillId="0" borderId="0" xfId="0" applyFont="1">
      <alignment vertical="center"/>
    </xf>
    <xf numFmtId="14" fontId="0" fillId="2" borderId="1" xfId="0" applyNumberFormat="1" applyFill="1" applyBorder="1" applyProtection="1">
      <alignment vertical="center"/>
      <protection locked="0"/>
    </xf>
    <xf numFmtId="177" fontId="0" fillId="2" borderId="1" xfId="0" applyNumberFormat="1" applyFill="1" applyBorder="1" applyProtection="1">
      <alignment vertical="center"/>
      <protection locked="0"/>
    </xf>
    <xf numFmtId="0" fontId="0" fillId="2" borderId="1" xfId="0" applyFill="1" applyBorder="1" applyAlignment="1" applyProtection="1">
      <alignment horizontal="center" vertical="center"/>
      <protection locked="0"/>
    </xf>
    <xf numFmtId="0" fontId="0" fillId="3" borderId="3" xfId="0" applyFill="1" applyBorder="1">
      <alignment vertical="center"/>
    </xf>
    <xf numFmtId="180" fontId="0" fillId="3" borderId="3" xfId="0" applyNumberFormat="1" applyFill="1" applyBorder="1">
      <alignment vertical="center"/>
    </xf>
    <xf numFmtId="177" fontId="0" fillId="0" borderId="3" xfId="0" applyNumberFormat="1" applyBorder="1">
      <alignment vertical="center"/>
    </xf>
    <xf numFmtId="177" fontId="0" fillId="0" borderId="0" xfId="0" applyNumberFormat="1" applyFill="1">
      <alignment vertical="center"/>
    </xf>
    <xf numFmtId="0" fontId="14" fillId="6" borderId="0" xfId="0" applyFont="1" applyFill="1">
      <alignment vertical="center"/>
    </xf>
    <xf numFmtId="0" fontId="0" fillId="0" borderId="0" xfId="0">
      <alignment vertical="center"/>
    </xf>
    <xf numFmtId="0" fontId="0" fillId="5" borderId="0" xfId="0" applyFill="1">
      <alignment vertical="center"/>
    </xf>
    <xf numFmtId="0" fontId="15" fillId="5" borderId="0" xfId="0" applyFont="1" applyFill="1">
      <alignment vertical="center"/>
    </xf>
    <xf numFmtId="0" fontId="3" fillId="5" borderId="0" xfId="0" applyFont="1" applyFill="1">
      <alignment vertical="center"/>
    </xf>
    <xf numFmtId="0" fontId="6" fillId="0" borderId="0" xfId="0" applyFont="1">
      <alignment vertical="center"/>
    </xf>
    <xf numFmtId="0" fontId="4" fillId="0" borderId="0" xfId="1">
      <alignment vertical="center"/>
    </xf>
    <xf numFmtId="0" fontId="3" fillId="0" borderId="0" xfId="0" applyFont="1">
      <alignment vertical="center"/>
    </xf>
    <xf numFmtId="0" fontId="16" fillId="7" borderId="0" xfId="0" applyFont="1" applyFill="1">
      <alignment vertical="center"/>
    </xf>
    <xf numFmtId="0" fontId="2" fillId="0" borderId="0" xfId="0" applyFont="1" applyAlignment="1">
      <alignment vertical="center" wrapText="1"/>
    </xf>
    <xf numFmtId="0" fontId="0" fillId="0" borderId="0" xfId="0" applyAlignment="1">
      <alignment vertical="center" wrapText="1"/>
    </xf>
    <xf numFmtId="0" fontId="0" fillId="0" borderId="0" xfId="0" applyFill="1" applyBorder="1">
      <alignment vertical="center"/>
    </xf>
    <xf numFmtId="0" fontId="0" fillId="0" borderId="0" xfId="0" applyFont="1" applyAlignment="1">
      <alignment vertical="center" wrapText="1"/>
    </xf>
    <xf numFmtId="0" fontId="9" fillId="6" borderId="0" xfId="0" applyFont="1" applyFill="1" applyAlignment="1" applyProtection="1">
      <alignment vertical="center"/>
    </xf>
    <xf numFmtId="0" fontId="9" fillId="0" borderId="0" xfId="0" applyFont="1" applyFill="1" applyAlignment="1" applyProtection="1">
      <alignment horizontal="center" vertical="center"/>
    </xf>
    <xf numFmtId="0" fontId="0" fillId="0" borderId="0" xfId="0" applyProtection="1">
      <alignment vertical="center"/>
    </xf>
    <xf numFmtId="0" fontId="0" fillId="0" borderId="0" xfId="0" applyFill="1" applyProtection="1">
      <alignment vertical="center"/>
    </xf>
    <xf numFmtId="9" fontId="0" fillId="0" borderId="0" xfId="0" applyNumberFormat="1" applyProtection="1">
      <alignment vertical="center"/>
    </xf>
    <xf numFmtId="0" fontId="7" fillId="0" borderId="0" xfId="0" applyFont="1" applyProtection="1">
      <alignment vertical="center"/>
    </xf>
    <xf numFmtId="0" fontId="7" fillId="0" borderId="0" xfId="0" applyFont="1" applyAlignment="1" applyProtection="1">
      <alignment horizontal="right" vertical="center"/>
    </xf>
    <xf numFmtId="182" fontId="7" fillId="0" borderId="0" xfId="0" applyNumberFormat="1" applyFont="1" applyProtection="1">
      <alignment vertical="center"/>
    </xf>
    <xf numFmtId="0" fontId="7" fillId="4" borderId="1" xfId="0" applyFont="1" applyFill="1" applyBorder="1" applyProtection="1">
      <alignment vertical="center"/>
    </xf>
    <xf numFmtId="0" fontId="8" fillId="0" borderId="0" xfId="0" applyFont="1" applyProtection="1">
      <alignment vertical="center"/>
    </xf>
    <xf numFmtId="0" fontId="7" fillId="0" borderId="0" xfId="0" applyFont="1" applyFill="1" applyAlignment="1" applyProtection="1">
      <alignment horizontal="right" vertical="center"/>
    </xf>
    <xf numFmtId="0" fontId="7" fillId="0" borderId="0" xfId="0" applyFont="1" applyFill="1" applyProtection="1">
      <alignment vertical="center"/>
    </xf>
    <xf numFmtId="0" fontId="11" fillId="0" borderId="0" xfId="0" applyFont="1" applyProtection="1">
      <alignment vertical="center"/>
      <protection locked="0"/>
    </xf>
    <xf numFmtId="0" fontId="12" fillId="0" borderId="0" xfId="0" applyFont="1" applyFill="1" applyBorder="1" applyAlignment="1" applyProtection="1">
      <alignment vertical="center"/>
    </xf>
    <xf numFmtId="0" fontId="0" fillId="0" borderId="0" xfId="0" applyBorder="1" applyProtection="1">
      <alignment vertical="center"/>
    </xf>
    <xf numFmtId="0" fontId="6" fillId="0" borderId="0" xfId="0" applyFont="1" applyFill="1" applyBorder="1" applyAlignment="1" applyProtection="1">
      <alignment vertical="center"/>
    </xf>
    <xf numFmtId="9" fontId="17" fillId="0" borderId="0" xfId="0" applyNumberFormat="1" applyFont="1" applyBorder="1" applyProtection="1">
      <alignment vertical="center"/>
    </xf>
    <xf numFmtId="0" fontId="2" fillId="0" borderId="0" xfId="0" applyFont="1" applyProtection="1">
      <alignment vertical="center"/>
    </xf>
    <xf numFmtId="177" fontId="0" fillId="4" borderId="1" xfId="0" applyNumberFormat="1" applyFill="1" applyBorder="1" applyProtection="1">
      <alignment vertical="center"/>
    </xf>
    <xf numFmtId="178" fontId="0" fillId="4" borderId="1" xfId="0" applyNumberFormat="1" applyFill="1" applyBorder="1" applyProtection="1">
      <alignment vertical="center"/>
    </xf>
    <xf numFmtId="0" fontId="3" fillId="0" borderId="0" xfId="0" applyFont="1" applyProtection="1">
      <alignment vertical="center"/>
    </xf>
    <xf numFmtId="177" fontId="0" fillId="0" borderId="0" xfId="0" applyNumberFormat="1" applyProtection="1">
      <alignment vertical="center"/>
    </xf>
    <xf numFmtId="0" fontId="0" fillId="0" borderId="0" xfId="0" applyAlignment="1" applyProtection="1">
      <alignment horizontal="right" vertical="center"/>
    </xf>
    <xf numFmtId="0" fontId="13" fillId="6" borderId="0" xfId="0" applyFont="1" applyFill="1" applyAlignment="1" applyProtection="1">
      <alignment vertical="center"/>
    </xf>
    <xf numFmtId="0" fontId="0" fillId="4" borderId="1" xfId="0" applyFill="1" applyBorder="1" applyProtection="1">
      <alignment vertical="center"/>
    </xf>
    <xf numFmtId="176" fontId="0" fillId="0" borderId="0" xfId="0" applyNumberFormat="1" applyProtection="1">
      <alignment vertical="center"/>
    </xf>
    <xf numFmtId="0" fontId="0" fillId="2" borderId="1" xfId="0" applyFill="1" applyBorder="1" applyProtection="1">
      <alignment vertical="center"/>
      <protection locked="0"/>
    </xf>
    <xf numFmtId="177" fontId="0" fillId="0" borderId="0" xfId="0" applyNumberFormat="1" applyFill="1" applyBorder="1" applyProtection="1">
      <alignment vertical="center"/>
    </xf>
    <xf numFmtId="0" fontId="0" fillId="0" borderId="0" xfId="0" applyFill="1" applyBorder="1" applyProtection="1">
      <alignment vertical="center"/>
    </xf>
    <xf numFmtId="0" fontId="13" fillId="0" borderId="0" xfId="0" applyFont="1" applyFill="1" applyAlignment="1" applyProtection="1">
      <alignment horizontal="center" vertical="center"/>
    </xf>
    <xf numFmtId="0" fontId="0" fillId="0" borderId="1" xfId="0" applyBorder="1" applyProtection="1">
      <alignment vertical="center"/>
    </xf>
    <xf numFmtId="14" fontId="0" fillId="0" borderId="1" xfId="0" applyNumberFormat="1" applyBorder="1" applyProtection="1">
      <alignment vertical="center"/>
    </xf>
    <xf numFmtId="177" fontId="0" fillId="0" borderId="1" xfId="0" applyNumberFormat="1" applyBorder="1" applyProtection="1">
      <alignment vertical="center"/>
    </xf>
    <xf numFmtId="189" fontId="0" fillId="0" borderId="1" xfId="0" applyNumberFormat="1" applyFill="1" applyBorder="1" applyProtection="1">
      <alignment vertical="center"/>
    </xf>
    <xf numFmtId="188" fontId="0" fillId="0" borderId="1" xfId="0" applyNumberFormat="1" applyFill="1" applyBorder="1" applyProtection="1">
      <alignment vertical="center"/>
    </xf>
    <xf numFmtId="188" fontId="0" fillId="0" borderId="1" xfId="0" applyNumberFormat="1" applyBorder="1" applyProtection="1">
      <alignment vertical="center"/>
    </xf>
  </cellXfs>
  <cellStyles count="2">
    <cellStyle name="ハイパーリンク" xfId="1" builtinId="8"/>
    <cellStyle name="標準" xfId="0" builtinId="0"/>
  </cellStyles>
  <dxfs count="13">
    <dxf>
      <font>
        <strike val="0"/>
        <color theme="0"/>
      </font>
    </dxf>
    <dxf>
      <font>
        <color rgb="FF9C0006"/>
      </font>
      <fill>
        <patternFill>
          <bgColor rgb="FFFFC7CE"/>
        </patternFill>
      </fill>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
      <font>
        <color rgb="FF9C0006"/>
      </font>
      <fill>
        <patternFill>
          <bgColor rgb="FFFFC7CE"/>
        </patternFill>
      </fill>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
      <font>
        <color rgb="FF9C0006"/>
      </font>
      <fill>
        <patternFill>
          <bgColor rgb="FFFFC7CE"/>
        </patternFill>
      </fill>
    </dxf>
    <dxf>
      <font>
        <color rgb="FF9C0006"/>
      </font>
      <fill>
        <patternFill>
          <bgColor rgb="FFFFC7CE"/>
        </patternFill>
      </fill>
    </dxf>
    <dxf>
      <font>
        <color auto="1"/>
      </font>
      <fill>
        <patternFill>
          <bgColor theme="7" tint="0.79998168889431442"/>
        </patternFill>
      </fill>
      <border>
        <left style="thin">
          <color auto="1"/>
        </left>
        <right style="thin">
          <color auto="1"/>
        </right>
        <top style="thin">
          <color auto="1"/>
        </top>
        <bottom style="thin">
          <color auto="1"/>
        </bottom>
      </border>
    </dxf>
    <dxf>
      <font>
        <color auto="1"/>
      </font>
      <fill>
        <patternFill>
          <bgColor theme="7" tint="0.79998168889431442"/>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FA8B88"/>
      <color rgb="FFF9DCD5"/>
      <color rgb="FFFEBAB3"/>
      <color rgb="FFFC74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panose="020B0604030504040204" pitchFamily="34" charset="-128"/>
                <a:ea typeface="Meiryo" panose="020B0604030504040204" pitchFamily="34" charset="-128"/>
                <a:cs typeface="+mn-cs"/>
              </a:defRPr>
            </a:pPr>
            <a:r>
              <a:rPr lang="ja-JP"/>
              <a:t>イベント進捗</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title>
    <c:autoTitleDeleted val="0"/>
    <c:plotArea>
      <c:layout>
        <c:manualLayout>
          <c:layoutTarget val="inner"/>
          <c:xMode val="edge"/>
          <c:yMode val="edge"/>
          <c:x val="6.4588329254681914E-2"/>
          <c:y val="0.10908301349266016"/>
          <c:w val="0.92181511933895133"/>
          <c:h val="0.75546098313203192"/>
        </c:manualLayout>
      </c:layout>
      <c:lineChart>
        <c:grouping val="standard"/>
        <c:varyColors val="0"/>
        <c:ser>
          <c:idx val="0"/>
          <c:order val="0"/>
          <c:tx>
            <c:strRef>
              <c:f>イベント進捗!$B$5</c:f>
              <c:strCache>
                <c:ptCount val="1"/>
                <c:pt idx="0">
                  <c:v>日別目標</c:v>
                </c:pt>
              </c:strCache>
            </c:strRef>
          </c:tx>
          <c:spPr>
            <a:ln w="38100" cap="rnd">
              <a:solidFill>
                <a:srgbClr val="73B2FA"/>
              </a:solidFill>
              <a:round/>
            </a:ln>
            <a:effectLst/>
          </c:spPr>
          <c:marker>
            <c:symbol val="circle"/>
            <c:size val="8"/>
            <c:spPr>
              <a:solidFill>
                <a:srgbClr val="73B2FA"/>
              </a:solidFill>
              <a:ln w="38100">
                <a:solidFill>
                  <a:srgbClr val="73B2FA"/>
                </a:solidFill>
              </a:ln>
              <a:effectLst/>
            </c:spPr>
          </c:marker>
          <c:dLbls>
            <c:spPr>
              <a:solidFill>
                <a:schemeClr val="bg1">
                  <a:alpha val="70000"/>
                </a:schemeClr>
              </a:solid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eiryo" panose="020B0604030504040204" pitchFamily="34" charset="-128"/>
                    <a:ea typeface="Meiryo" panose="020B0604030504040204" pitchFamily="34"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イベント進捗!$C$4:$K$4</c:f>
              <c:numCache>
                <c:formatCode>m/d/yy</c:formatCode>
                <c:ptCount val="9"/>
                <c:pt idx="0">
                  <c:v>45702</c:v>
                </c:pt>
                <c:pt idx="1">
                  <c:v>45703</c:v>
                </c:pt>
                <c:pt idx="2">
                  <c:v>45704</c:v>
                </c:pt>
                <c:pt idx="3">
                  <c:v>45705</c:v>
                </c:pt>
                <c:pt idx="4">
                  <c:v>45706</c:v>
                </c:pt>
                <c:pt idx="5">
                  <c:v>45707</c:v>
                </c:pt>
                <c:pt idx="6">
                  <c:v>45708</c:v>
                </c:pt>
                <c:pt idx="7">
                  <c:v>45709</c:v>
                </c:pt>
                <c:pt idx="8">
                  <c:v>45710</c:v>
                </c:pt>
              </c:numCache>
            </c:numRef>
          </c:cat>
          <c:val>
            <c:numRef>
              <c:f>イベント進捗!$C$5:$K$5</c:f>
              <c:numCache>
                <c:formatCode>#,##0_);[Red]\(#,##0\)</c:formatCode>
                <c:ptCount val="9"/>
                <c:pt idx="0">
                  <c:v>0</c:v>
                </c:pt>
                <c:pt idx="1">
                  <c:v>0</c:v>
                </c:pt>
                <c:pt idx="2">
                  <c:v>0</c:v>
                </c:pt>
                <c:pt idx="3">
                  <c:v>0</c:v>
                </c:pt>
                <c:pt idx="4">
                  <c:v>0</c:v>
                </c:pt>
                <c:pt idx="5">
                  <c:v>0</c:v>
                </c:pt>
                <c:pt idx="6">
                  <c:v>0</c:v>
                </c:pt>
                <c:pt idx="7">
                  <c:v>0</c:v>
                </c:pt>
                <c:pt idx="8">
                  <c:v>0</c:v>
                </c:pt>
              </c:numCache>
            </c:numRef>
          </c:val>
          <c:smooth val="0"/>
          <c:extLst>
            <c:ext xmlns:c16="http://schemas.microsoft.com/office/drawing/2014/chart" uri="{C3380CC4-5D6E-409C-BE32-E72D297353CC}">
              <c16:uniqueId val="{00000000-A227-1F4F-884D-7A966D35F778}"/>
            </c:ext>
          </c:extLst>
        </c:ser>
        <c:ser>
          <c:idx val="1"/>
          <c:order val="1"/>
          <c:tx>
            <c:strRef>
              <c:f>イベント進捗!$B$8</c:f>
              <c:strCache>
                <c:ptCount val="1"/>
                <c:pt idx="0">
                  <c:v>パス込ポイント数</c:v>
                </c:pt>
              </c:strCache>
            </c:strRef>
          </c:tx>
          <c:spPr>
            <a:ln w="28575" cap="rnd">
              <a:solidFill>
                <a:srgbClr val="FA8B88"/>
              </a:solidFill>
              <a:round/>
            </a:ln>
            <a:effectLst/>
          </c:spPr>
          <c:marker>
            <c:symbol val="circle"/>
            <c:size val="8"/>
            <c:spPr>
              <a:solidFill>
                <a:srgbClr val="FA8B88"/>
              </a:solidFill>
              <a:ln w="38100">
                <a:solidFill>
                  <a:srgbClr val="FA8B88"/>
                </a:solidFill>
              </a:ln>
              <a:effectLst/>
            </c:spPr>
          </c:marker>
          <c:dLbls>
            <c:spPr>
              <a:solidFill>
                <a:schemeClr val="bg1">
                  <a:alpha val="70000"/>
                </a:schemeClr>
              </a:solid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eiryo" panose="020B0604030504040204" pitchFamily="34" charset="-128"/>
                    <a:ea typeface="Meiryo" panose="020B0604030504040204" pitchFamily="34"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イベント進捗!$C$4:$K$4</c:f>
              <c:numCache>
                <c:formatCode>m/d/yy</c:formatCode>
                <c:ptCount val="9"/>
                <c:pt idx="0">
                  <c:v>45702</c:v>
                </c:pt>
                <c:pt idx="1">
                  <c:v>45703</c:v>
                </c:pt>
                <c:pt idx="2">
                  <c:v>45704</c:v>
                </c:pt>
                <c:pt idx="3">
                  <c:v>45705</c:v>
                </c:pt>
                <c:pt idx="4">
                  <c:v>45706</c:v>
                </c:pt>
                <c:pt idx="5">
                  <c:v>45707</c:v>
                </c:pt>
                <c:pt idx="6">
                  <c:v>45708</c:v>
                </c:pt>
                <c:pt idx="7">
                  <c:v>45709</c:v>
                </c:pt>
                <c:pt idx="8">
                  <c:v>45710</c:v>
                </c:pt>
              </c:numCache>
            </c:numRef>
          </c:cat>
          <c:val>
            <c:numRef>
              <c:f>イベント進捗!$C$8:$K$8</c:f>
              <c:numCache>
                <c:formatCode>#</c:formatCode>
                <c:ptCount val="9"/>
                <c:pt idx="0">
                  <c:v>#N/A</c:v>
                </c:pt>
                <c:pt idx="1">
                  <c:v>#N/A</c:v>
                </c:pt>
                <c:pt idx="2">
                  <c:v>#N/A</c:v>
                </c:pt>
                <c:pt idx="3">
                  <c:v>#N/A</c:v>
                </c:pt>
                <c:pt idx="4">
                  <c:v>#N/A</c:v>
                </c:pt>
                <c:pt idx="5">
                  <c:v>#N/A</c:v>
                </c:pt>
                <c:pt idx="6">
                  <c:v>#N/A</c:v>
                </c:pt>
                <c:pt idx="7">
                  <c:v>#N/A</c:v>
                </c:pt>
                <c:pt idx="8">
                  <c:v>#N/A</c:v>
                </c:pt>
              </c:numCache>
            </c:numRef>
          </c:val>
          <c:smooth val="0"/>
          <c:extLst>
            <c:ext xmlns:c16="http://schemas.microsoft.com/office/drawing/2014/chart" uri="{C3380CC4-5D6E-409C-BE32-E72D297353CC}">
              <c16:uniqueId val="{00000001-A227-1F4F-884D-7A966D35F778}"/>
            </c:ext>
          </c:extLst>
        </c:ser>
        <c:dLbls>
          <c:dLblPos val="t"/>
          <c:showLegendKey val="0"/>
          <c:showVal val="1"/>
          <c:showCatName val="0"/>
          <c:showSerName val="0"/>
          <c:showPercent val="0"/>
          <c:showBubbleSize val="0"/>
        </c:dLbls>
        <c:marker val="1"/>
        <c:smooth val="0"/>
        <c:axId val="987060815"/>
        <c:axId val="953563519"/>
      </c:lineChart>
      <c:dateAx>
        <c:axId val="987060815"/>
        <c:scaling>
          <c:orientation val="minMax"/>
        </c:scaling>
        <c:delete val="0"/>
        <c:axPos val="b"/>
        <c:numFmt formatCode="m/d/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crossAx val="953563519"/>
        <c:crosses val="autoZero"/>
        <c:auto val="1"/>
        <c:lblOffset val="100"/>
        <c:baseTimeUnit val="days"/>
      </c:dateAx>
      <c:valAx>
        <c:axId val="953563519"/>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crossAx val="98706081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panose="020B0604030504040204" pitchFamily="34" charset="-128"/>
              <a:ea typeface="Meiryo" panose="020B0604030504040204" pitchFamily="34" charset="-128"/>
              <a:cs typeface="+mn-cs"/>
            </a:defRPr>
          </a:pPr>
          <a:endParaRPr lang="ja-JP"/>
        </a:p>
      </c:txPr>
    </c:legend>
    <c:plotVisOnly val="1"/>
    <c:dispBlanksAs val="span"/>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Meiryo" panose="020B0604030504040204" pitchFamily="34" charset="-128"/>
          <a:ea typeface="Meiryo" panose="020B0604030504040204" pitchFamily="34" charset="-128"/>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D$45" lockText="1" noThreeD="1"/>
</file>

<file path=xl/ctrlProps/ctrlProp2.xml><?xml version="1.0" encoding="utf-8"?>
<formControlPr xmlns="http://schemas.microsoft.com/office/spreadsheetml/2009/9/main" objectType="CheckBox" fmlaLink="$D$68" lockText="1" noThreeD="1"/>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3</xdr:col>
          <xdr:colOff>457200</xdr:colOff>
          <xdr:row>43</xdr:row>
          <xdr:rowOff>190500</xdr:rowOff>
        </xdr:from>
        <xdr:ext cx="355600" cy="444500"/>
        <xdr:sp macro="" textlink="">
          <xdr:nvSpPr>
            <xdr:cNvPr id="4103" name="Check Box 7" hidden="1">
              <a:extLst>
                <a:ext uri="{63B3BB69-23CF-44E3-9099-C40C66FF867C}">
                  <a14:compatExt spid="_x0000_s4103"/>
                </a:ext>
                <a:ext uri="{FF2B5EF4-FFF2-40B4-BE49-F238E27FC236}">
                  <a16:creationId xmlns:a16="http://schemas.microsoft.com/office/drawing/2014/main" id="{E455A100-E99D-3546-A084-5CFCA26845E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oneCellAnchor>
        <xdr:from>
          <xdr:col>3</xdr:col>
          <xdr:colOff>469900</xdr:colOff>
          <xdr:row>66</xdr:row>
          <xdr:rowOff>152400</xdr:rowOff>
        </xdr:from>
        <xdr:ext cx="355600" cy="482600"/>
        <xdr:sp macro="" textlink="">
          <xdr:nvSpPr>
            <xdr:cNvPr id="4104" name="Check Box 8" hidden="1">
              <a:extLst>
                <a:ext uri="{63B3BB69-23CF-44E3-9099-C40C66FF867C}">
                  <a14:compatExt spid="_x0000_s4104"/>
                </a:ext>
                <a:ext uri="{FF2B5EF4-FFF2-40B4-BE49-F238E27FC236}">
                  <a16:creationId xmlns:a16="http://schemas.microsoft.com/office/drawing/2014/main" id="{AA6F655D-986B-264D-92E1-4654FF77460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2.xml><?xml version="1.0" encoding="utf-8"?>
<xdr:wsDr xmlns:xdr="http://schemas.openxmlformats.org/drawingml/2006/spreadsheetDrawing" xmlns:a="http://schemas.openxmlformats.org/drawingml/2006/main">
  <xdr:twoCellAnchor>
    <xdr:from>
      <xdr:col>8</xdr:col>
      <xdr:colOff>139700</xdr:colOff>
      <xdr:row>10</xdr:row>
      <xdr:rowOff>190500</xdr:rowOff>
    </xdr:from>
    <xdr:to>
      <xdr:col>8</xdr:col>
      <xdr:colOff>3124200</xdr:colOff>
      <xdr:row>14</xdr:row>
      <xdr:rowOff>76200</xdr:rowOff>
    </xdr:to>
    <xdr:sp macro="" textlink="">
      <xdr:nvSpPr>
        <xdr:cNvPr id="4" name="テキスト ボックス 3">
          <a:extLst>
            <a:ext uri="{FF2B5EF4-FFF2-40B4-BE49-F238E27FC236}">
              <a16:creationId xmlns:a16="http://schemas.microsoft.com/office/drawing/2014/main" id="{9484E757-0AF1-894A-A0D4-0AF0D1E7D5FC}"/>
            </a:ext>
          </a:extLst>
        </xdr:cNvPr>
        <xdr:cNvSpPr txBox="1"/>
      </xdr:nvSpPr>
      <xdr:spPr>
        <a:xfrm>
          <a:off x="8305800" y="3111500"/>
          <a:ext cx="2984500" cy="1054100"/>
        </a:xfrm>
        <a:prstGeom prst="rect">
          <a:avLst/>
        </a:prstGeom>
        <a:solidFill>
          <a:srgbClr val="F9DCD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「特効計算」シートを使用した場合は</a:t>
          </a:r>
          <a:endParaRPr kumimoji="1" lang="en-US" altLang="ja-JP" sz="1200"/>
        </a:p>
        <a:p>
          <a:r>
            <a:rPr kumimoji="1" lang="ja-JP" altLang="en-US" sz="1200"/>
            <a:t>赤セルを空欄にしてください。</a:t>
          </a:r>
          <a:endParaRPr kumimoji="1" lang="en-US" altLang="ja-JP" sz="1200"/>
        </a:p>
        <a:p>
          <a:r>
            <a:rPr kumimoji="1" lang="ja-JP" altLang="en-US" sz="1200"/>
            <a:t>赤セルは優先反映されます。</a:t>
          </a:r>
          <a:endParaRPr kumimoji="1" lang="en-US" altLang="ja-JP" sz="1200"/>
        </a:p>
        <a:p>
          <a:endParaRPr kumimoji="1" lang="ja-JP" altLang="en-US" sz="12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177800</xdr:colOff>
      <xdr:row>16</xdr:row>
      <xdr:rowOff>254000</xdr:rowOff>
    </xdr:from>
    <xdr:to>
      <xdr:col>8</xdr:col>
      <xdr:colOff>3162300</xdr:colOff>
      <xdr:row>20</xdr:row>
      <xdr:rowOff>139700</xdr:rowOff>
    </xdr:to>
    <xdr:sp macro="" textlink="">
      <xdr:nvSpPr>
        <xdr:cNvPr id="6" name="テキスト ボックス 5">
          <a:extLst>
            <a:ext uri="{FF2B5EF4-FFF2-40B4-BE49-F238E27FC236}">
              <a16:creationId xmlns:a16="http://schemas.microsoft.com/office/drawing/2014/main" id="{24098138-9D42-BA49-AB61-A55E8BDA7BA2}"/>
            </a:ext>
          </a:extLst>
        </xdr:cNvPr>
        <xdr:cNvSpPr txBox="1"/>
      </xdr:nvSpPr>
      <xdr:spPr>
        <a:xfrm>
          <a:off x="8394700" y="4927600"/>
          <a:ext cx="2984500" cy="1054100"/>
        </a:xfrm>
        <a:prstGeom prst="rect">
          <a:avLst/>
        </a:prstGeom>
        <a:solidFill>
          <a:srgbClr val="F9DCD5"/>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t>「特効計算」シートを使用した場合は</a:t>
          </a:r>
          <a:endParaRPr kumimoji="1" lang="en-US" altLang="ja-JP" sz="1200"/>
        </a:p>
        <a:p>
          <a:r>
            <a:rPr kumimoji="1" lang="ja-JP" altLang="en-US" sz="1200"/>
            <a:t>赤セルを空欄にしてください。</a:t>
          </a:r>
          <a:endParaRPr kumimoji="1" lang="en-US" altLang="ja-JP" sz="1200"/>
        </a:p>
        <a:p>
          <a:r>
            <a:rPr kumimoji="1" lang="ja-JP" altLang="en-US" sz="1200"/>
            <a:t>赤セルは優先反映されます。</a:t>
          </a:r>
          <a:endParaRPr kumimoji="1" lang="en-US" altLang="ja-JP" sz="1200"/>
        </a:p>
        <a:p>
          <a:endParaRPr kumimoji="1" lang="ja-JP" altLang="en-US" sz="12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63500</xdr:colOff>
      <xdr:row>11</xdr:row>
      <xdr:rowOff>101600</xdr:rowOff>
    </xdr:from>
    <xdr:to>
      <xdr:col>10</xdr:col>
      <xdr:colOff>901700</xdr:colOff>
      <xdr:row>34</xdr:row>
      <xdr:rowOff>63500</xdr:rowOff>
    </xdr:to>
    <xdr:graphicFrame macro="">
      <xdr:nvGraphicFramePr>
        <xdr:cNvPr id="2" name="グラフ 1">
          <a:extLst>
            <a:ext uri="{FF2B5EF4-FFF2-40B4-BE49-F238E27FC236}">
              <a16:creationId xmlns:a16="http://schemas.microsoft.com/office/drawing/2014/main" id="{0ACE7933-F2AC-354B-B3D5-BEABE25696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ta-life.com/music-special-tour-excel/" TargetMode="External"/><Relationship Id="rId2" Type="http://schemas.openxmlformats.org/officeDocument/2006/relationships/hyperlink" Target="https://ota-life.com/contact/" TargetMode="External"/><Relationship Id="rId1" Type="http://schemas.openxmlformats.org/officeDocument/2006/relationships/hyperlink" Target="https://x.com/lop_0125" TargetMode="Externa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38FB8-651F-BA4D-A097-EC6BEBF3E979}">
  <sheetPr>
    <tabColor rgb="FFC00000"/>
  </sheetPr>
  <dimension ref="A1:K78"/>
  <sheetViews>
    <sheetView tabSelected="1" zoomScaleNormal="100" workbookViewId="0">
      <selection activeCell="A2" sqref="A2"/>
    </sheetView>
  </sheetViews>
  <sheetFormatPr baseColWidth="10" defaultRowHeight="21" customHeight="1"/>
  <cols>
    <col min="1" max="1" width="4.5703125" customWidth="1"/>
    <col min="2" max="2" width="15.5703125" customWidth="1"/>
  </cols>
  <sheetData>
    <row r="1" spans="1:11" ht="29" customHeight="1">
      <c r="A1" s="22" t="s">
        <v>45</v>
      </c>
      <c r="B1" s="22"/>
      <c r="C1" s="22"/>
      <c r="D1" s="22"/>
      <c r="E1" s="22"/>
      <c r="F1" s="22"/>
      <c r="G1" s="22"/>
      <c r="H1" s="22"/>
      <c r="I1" s="22"/>
      <c r="J1" s="22"/>
      <c r="K1" s="22"/>
    </row>
    <row r="2" spans="1:11" ht="21" customHeight="1">
      <c r="B2" s="23"/>
      <c r="C2" s="23"/>
      <c r="D2" s="23"/>
      <c r="E2" s="23"/>
      <c r="F2" s="23"/>
      <c r="G2" s="23"/>
      <c r="H2" s="23"/>
      <c r="I2" s="23"/>
      <c r="J2" s="23"/>
      <c r="K2" s="23"/>
    </row>
    <row r="3" spans="1:11" ht="21" customHeight="1">
      <c r="B3" s="24" t="s">
        <v>173</v>
      </c>
      <c r="C3" s="24"/>
      <c r="D3" s="24"/>
      <c r="E3" s="24"/>
      <c r="F3" s="24"/>
      <c r="G3" s="24"/>
      <c r="H3" s="24"/>
      <c r="I3" s="24"/>
      <c r="J3" s="24"/>
      <c r="K3" s="24"/>
    </row>
    <row r="4" spans="1:11" ht="21" customHeight="1">
      <c r="B4" s="24" t="s">
        <v>174</v>
      </c>
      <c r="C4" s="24"/>
      <c r="D4" s="24"/>
      <c r="E4" s="24"/>
      <c r="F4" s="24"/>
      <c r="G4" s="24"/>
      <c r="H4" s="24"/>
      <c r="I4" s="24"/>
      <c r="J4" s="24"/>
      <c r="K4" s="24"/>
    </row>
    <row r="5" spans="1:11" ht="33" customHeight="1">
      <c r="B5" s="25" t="s">
        <v>175</v>
      </c>
      <c r="C5" s="25"/>
      <c r="D5" s="25"/>
      <c r="E5" s="25"/>
      <c r="F5" s="25"/>
      <c r="G5" s="25"/>
      <c r="H5" s="25"/>
      <c r="I5" s="25"/>
      <c r="J5" s="25"/>
      <c r="K5" s="25"/>
    </row>
    <row r="6" spans="1:11" ht="21" customHeight="1">
      <c r="B6" s="26" t="s">
        <v>176</v>
      </c>
      <c r="C6" s="26"/>
      <c r="D6" s="26"/>
      <c r="E6" s="26"/>
      <c r="F6" s="26"/>
      <c r="G6" s="26"/>
      <c r="H6" s="26"/>
      <c r="I6" s="26"/>
      <c r="J6" s="26"/>
      <c r="K6" s="26"/>
    </row>
    <row r="7" spans="1:11" ht="21" customHeight="1">
      <c r="B7" s="23"/>
      <c r="C7" s="23"/>
      <c r="D7" s="23"/>
      <c r="E7" s="23"/>
      <c r="F7" s="23"/>
      <c r="G7" s="23"/>
      <c r="H7" s="23"/>
      <c r="I7" s="23"/>
      <c r="J7" s="23"/>
      <c r="K7" s="23"/>
    </row>
    <row r="8" spans="1:11" ht="21" customHeight="1">
      <c r="B8" s="23" t="s">
        <v>41</v>
      </c>
      <c r="C8" s="23"/>
      <c r="D8" s="23"/>
      <c r="E8" s="23"/>
      <c r="F8" s="23"/>
      <c r="G8" s="23"/>
      <c r="H8" s="23"/>
      <c r="I8" s="23"/>
      <c r="J8" s="23"/>
      <c r="K8" s="23"/>
    </row>
    <row r="9" spans="1:11" ht="21" customHeight="1">
      <c r="B9" s="23" t="s">
        <v>42</v>
      </c>
      <c r="C9" s="23"/>
      <c r="D9" s="23"/>
      <c r="E9" s="23"/>
      <c r="F9" s="23"/>
      <c r="G9" s="23"/>
      <c r="H9" s="23"/>
      <c r="I9" s="23"/>
      <c r="J9" s="23"/>
      <c r="K9" s="23"/>
    </row>
    <row r="10" spans="1:11" ht="21" customHeight="1">
      <c r="B10" s="23"/>
      <c r="C10" s="23"/>
      <c r="D10" s="23"/>
      <c r="E10" s="23"/>
      <c r="F10" s="23"/>
      <c r="G10" s="23"/>
      <c r="H10" s="23"/>
      <c r="I10" s="23"/>
      <c r="J10" s="23"/>
      <c r="K10" s="23"/>
    </row>
    <row r="11" spans="1:11" ht="21" customHeight="1">
      <c r="B11" s="27" t="s">
        <v>52</v>
      </c>
      <c r="C11" s="27"/>
      <c r="D11" s="27"/>
      <c r="E11" s="27"/>
      <c r="F11" s="27"/>
      <c r="G11" s="27"/>
      <c r="H11" s="27"/>
      <c r="I11" s="27"/>
      <c r="J11" s="27"/>
      <c r="K11" s="27"/>
    </row>
    <row r="12" spans="1:11" ht="21" customHeight="1">
      <c r="B12" s="27" t="s">
        <v>43</v>
      </c>
      <c r="C12" s="27"/>
      <c r="D12" s="27"/>
      <c r="E12" s="27"/>
      <c r="F12" s="27"/>
      <c r="G12" s="27"/>
      <c r="H12" s="27"/>
      <c r="I12" s="27"/>
      <c r="J12" s="27"/>
      <c r="K12" s="27"/>
    </row>
    <row r="13" spans="1:11" ht="21" customHeight="1">
      <c r="B13" s="27" t="s">
        <v>44</v>
      </c>
      <c r="C13" s="27"/>
      <c r="D13" s="27"/>
      <c r="E13" s="27"/>
      <c r="F13" s="27"/>
      <c r="G13" s="27"/>
      <c r="H13" s="27"/>
      <c r="I13" s="27"/>
      <c r="J13" s="27"/>
      <c r="K13" s="27"/>
    </row>
    <row r="14" spans="1:11" ht="21" customHeight="1">
      <c r="B14" s="23"/>
      <c r="C14" s="23"/>
      <c r="D14" s="23"/>
      <c r="E14" s="23"/>
      <c r="F14" s="23"/>
      <c r="G14" s="23"/>
      <c r="H14" s="23"/>
      <c r="I14" s="23"/>
      <c r="J14" s="23"/>
      <c r="K14" s="23"/>
    </row>
    <row r="15" spans="1:11" ht="21" customHeight="1">
      <c r="B15" s="27" t="s">
        <v>37</v>
      </c>
      <c r="C15" s="27"/>
      <c r="D15" s="27"/>
      <c r="E15" s="27"/>
      <c r="F15" s="27"/>
      <c r="G15" s="27"/>
      <c r="H15" s="27"/>
      <c r="I15" s="27"/>
      <c r="J15" s="27"/>
      <c r="K15" s="27"/>
    </row>
    <row r="16" spans="1:11" ht="21" customHeight="1">
      <c r="B16" s="27" t="s">
        <v>38</v>
      </c>
      <c r="C16" s="27"/>
      <c r="D16" s="27"/>
      <c r="E16" s="27"/>
      <c r="F16" s="27"/>
      <c r="G16" s="27"/>
      <c r="H16" s="27"/>
      <c r="I16" s="27"/>
      <c r="J16" s="27"/>
      <c r="K16" s="27"/>
    </row>
    <row r="17" spans="1:11" ht="21" customHeight="1">
      <c r="B17" s="28" t="s">
        <v>48</v>
      </c>
      <c r="C17" s="28"/>
      <c r="D17" s="28"/>
      <c r="E17" s="28"/>
      <c r="F17" s="28"/>
      <c r="G17" s="28"/>
      <c r="H17" s="28"/>
      <c r="I17" s="28"/>
      <c r="J17" s="28"/>
      <c r="K17" s="28"/>
    </row>
    <row r="18" spans="1:11" ht="21" customHeight="1">
      <c r="B18" s="27" t="s">
        <v>39</v>
      </c>
      <c r="C18" s="27"/>
      <c r="D18" s="27"/>
      <c r="E18" s="27"/>
      <c r="F18" s="27"/>
      <c r="G18" s="27"/>
      <c r="H18" s="27"/>
      <c r="I18" s="27"/>
      <c r="J18" s="27"/>
      <c r="K18" s="27"/>
    </row>
    <row r="19" spans="1:11" ht="21" customHeight="1">
      <c r="B19" s="28" t="s">
        <v>49</v>
      </c>
      <c r="C19" s="28"/>
      <c r="D19" s="28"/>
      <c r="E19" s="28"/>
      <c r="F19" s="28"/>
      <c r="G19" s="28"/>
      <c r="H19" s="28"/>
      <c r="I19" s="28"/>
      <c r="J19" s="28"/>
      <c r="K19" s="28"/>
    </row>
    <row r="20" spans="1:11" ht="21" customHeight="1">
      <c r="B20" s="27" t="s">
        <v>40</v>
      </c>
      <c r="C20" s="27"/>
      <c r="D20" s="27"/>
      <c r="E20" s="27"/>
      <c r="F20" s="27"/>
      <c r="G20" s="27"/>
      <c r="H20" s="27"/>
      <c r="I20" s="27"/>
      <c r="J20" s="27"/>
      <c r="K20" s="27"/>
    </row>
    <row r="21" spans="1:11" ht="21" customHeight="1">
      <c r="B21" s="27"/>
      <c r="C21" s="27"/>
      <c r="D21" s="27"/>
      <c r="E21" s="27"/>
      <c r="F21" s="27"/>
      <c r="G21" s="27"/>
      <c r="H21" s="27"/>
      <c r="I21" s="27"/>
      <c r="J21" s="27"/>
      <c r="K21" s="27"/>
    </row>
    <row r="22" spans="1:11" ht="21" customHeight="1">
      <c r="B22" s="27" t="s">
        <v>46</v>
      </c>
      <c r="C22" s="27"/>
      <c r="D22" s="27"/>
      <c r="E22" s="27"/>
      <c r="F22" s="27"/>
      <c r="G22" s="27"/>
      <c r="H22" s="27"/>
      <c r="I22" s="27"/>
      <c r="J22" s="27"/>
      <c r="K22" s="27"/>
    </row>
    <row r="23" spans="1:11" ht="21" customHeight="1">
      <c r="B23" s="27" t="s">
        <v>47</v>
      </c>
      <c r="C23" s="27"/>
      <c r="D23" s="27"/>
      <c r="E23" s="27"/>
      <c r="F23" s="27"/>
      <c r="G23" s="27"/>
      <c r="H23" s="27"/>
      <c r="I23" s="27"/>
      <c r="J23" s="27"/>
      <c r="K23" s="27"/>
    </row>
    <row r="24" spans="1:11" ht="21" customHeight="1">
      <c r="B24" s="28" t="s">
        <v>213</v>
      </c>
      <c r="C24" s="28"/>
      <c r="D24" s="28"/>
      <c r="E24" s="28"/>
      <c r="F24" s="28"/>
      <c r="G24" s="28"/>
      <c r="H24" s="28"/>
      <c r="I24" s="28"/>
      <c r="J24" s="28"/>
      <c r="K24" s="28"/>
    </row>
    <row r="25" spans="1:11" ht="21" customHeight="1">
      <c r="B25" s="27" t="s">
        <v>51</v>
      </c>
      <c r="C25" s="27"/>
      <c r="D25" s="27"/>
      <c r="E25" s="27"/>
      <c r="F25" s="27"/>
      <c r="G25" s="27"/>
      <c r="H25" s="27"/>
      <c r="I25" s="27"/>
      <c r="J25" s="27"/>
      <c r="K25" s="27"/>
    </row>
    <row r="26" spans="1:11" ht="21" customHeight="1">
      <c r="B26" s="27"/>
      <c r="C26" s="27"/>
      <c r="D26" s="27"/>
      <c r="E26" s="27"/>
      <c r="F26" s="27"/>
      <c r="G26" s="27"/>
      <c r="H26" s="27"/>
      <c r="I26" s="27"/>
      <c r="J26" s="27"/>
      <c r="K26" s="27"/>
    </row>
    <row r="27" spans="1:11" ht="29" customHeight="1">
      <c r="A27" s="22" t="s">
        <v>31</v>
      </c>
      <c r="B27" s="22"/>
      <c r="C27" s="22"/>
      <c r="D27" s="22"/>
      <c r="E27" s="22"/>
      <c r="F27" s="22"/>
      <c r="G27" s="22"/>
      <c r="H27" s="22"/>
      <c r="I27" s="22"/>
      <c r="J27" s="22"/>
      <c r="K27" s="22"/>
    </row>
    <row r="28" spans="1:11" ht="21" customHeight="1">
      <c r="B28" s="23" t="s">
        <v>177</v>
      </c>
      <c r="C28" s="23"/>
      <c r="D28" s="23"/>
      <c r="E28" s="23"/>
      <c r="F28" s="23"/>
      <c r="G28" s="23"/>
      <c r="H28" s="23"/>
      <c r="I28" s="23"/>
      <c r="J28" s="23"/>
      <c r="K28" s="23"/>
    </row>
    <row r="29" spans="1:11" ht="21" customHeight="1">
      <c r="B29" s="29" t="s">
        <v>29</v>
      </c>
      <c r="C29" s="29"/>
      <c r="D29" s="29"/>
      <c r="E29" s="29"/>
      <c r="F29" s="29"/>
      <c r="G29" s="29"/>
      <c r="H29" s="29"/>
      <c r="I29" s="29"/>
      <c r="J29" s="29"/>
      <c r="K29" s="29"/>
    </row>
    <row r="30" spans="1:11" ht="21" customHeight="1">
      <c r="B30" s="23"/>
      <c r="C30" s="23"/>
      <c r="D30" s="23"/>
      <c r="E30" s="23"/>
      <c r="F30" s="23"/>
      <c r="G30" s="23"/>
      <c r="H30" s="23"/>
      <c r="I30" s="23"/>
      <c r="J30" s="23"/>
      <c r="K30" s="23"/>
    </row>
    <row r="31" spans="1:11" s="14" customFormat="1" ht="24" customHeight="1">
      <c r="A31" s="30" t="s">
        <v>114</v>
      </c>
      <c r="B31" s="30"/>
      <c r="C31" s="30"/>
      <c r="D31" s="30"/>
      <c r="E31" s="30"/>
      <c r="F31" s="30"/>
      <c r="G31" s="30"/>
      <c r="H31" s="30"/>
      <c r="I31" s="30"/>
      <c r="J31" s="30"/>
      <c r="K31" s="30"/>
    </row>
    <row r="32" spans="1:11" ht="21" customHeight="1">
      <c r="B32" s="23" t="s">
        <v>193</v>
      </c>
      <c r="C32" s="23"/>
      <c r="D32" s="23"/>
      <c r="E32" s="23"/>
      <c r="F32" s="23"/>
      <c r="G32" s="23"/>
      <c r="H32" s="23"/>
      <c r="I32" s="23"/>
      <c r="J32" s="23"/>
      <c r="K32" s="23"/>
    </row>
    <row r="33" spans="1:11" ht="21" customHeight="1">
      <c r="B33" s="23" t="s">
        <v>115</v>
      </c>
      <c r="C33" s="23"/>
      <c r="D33" s="23"/>
      <c r="E33" s="23"/>
      <c r="F33" s="23"/>
      <c r="G33" s="23"/>
      <c r="H33" s="23"/>
      <c r="I33" s="23"/>
      <c r="J33" s="23"/>
      <c r="K33" s="23"/>
    </row>
    <row r="34" spans="1:11" ht="21" customHeight="1">
      <c r="B34" s="23" t="s">
        <v>116</v>
      </c>
      <c r="C34" s="23"/>
      <c r="D34" s="23"/>
      <c r="E34" s="23"/>
      <c r="F34" s="23"/>
      <c r="G34" s="23"/>
      <c r="H34" s="23"/>
      <c r="I34" s="23"/>
      <c r="J34" s="23"/>
      <c r="K34" s="23"/>
    </row>
    <row r="35" spans="1:11" ht="21" customHeight="1">
      <c r="B35" s="23" t="s">
        <v>196</v>
      </c>
      <c r="C35" s="23"/>
      <c r="D35" s="23"/>
      <c r="E35" s="23"/>
      <c r="F35" s="23"/>
      <c r="G35" s="23"/>
      <c r="H35" s="23"/>
      <c r="I35" s="23"/>
      <c r="J35" s="23"/>
      <c r="K35" s="23"/>
    </row>
    <row r="36" spans="1:11" ht="21" customHeight="1">
      <c r="B36" s="33" t="s">
        <v>194</v>
      </c>
      <c r="C36" s="33"/>
      <c r="D36" s="33"/>
      <c r="E36" s="33"/>
      <c r="F36" s="33"/>
      <c r="G36" s="33"/>
      <c r="H36" s="33"/>
      <c r="I36" s="33"/>
      <c r="J36" s="33"/>
      <c r="K36" s="33"/>
    </row>
    <row r="37" spans="1:11" ht="21" customHeight="1">
      <c r="B37" s="23"/>
      <c r="C37" s="23"/>
      <c r="D37" s="23"/>
      <c r="E37" s="23"/>
      <c r="F37" s="23"/>
      <c r="G37" s="23"/>
      <c r="H37" s="23"/>
      <c r="I37" s="23"/>
      <c r="J37" s="23"/>
      <c r="K37" s="23"/>
    </row>
    <row r="38" spans="1:11" s="14" customFormat="1" ht="24" customHeight="1">
      <c r="A38" s="30" t="s">
        <v>178</v>
      </c>
      <c r="B38" s="30"/>
      <c r="C38" s="30"/>
      <c r="D38" s="30"/>
      <c r="E38" s="30"/>
      <c r="F38" s="30"/>
      <c r="G38" s="30"/>
      <c r="H38" s="30"/>
      <c r="I38" s="30"/>
      <c r="J38" s="30"/>
      <c r="K38" s="30"/>
    </row>
    <row r="39" spans="1:11" ht="21" customHeight="1">
      <c r="B39" s="23" t="s">
        <v>207</v>
      </c>
      <c r="C39" s="23"/>
      <c r="D39" s="23"/>
      <c r="E39" s="23"/>
      <c r="F39" s="23"/>
      <c r="G39" s="23"/>
      <c r="H39" s="23"/>
      <c r="I39" s="23"/>
      <c r="J39" s="23"/>
      <c r="K39" s="23"/>
    </row>
    <row r="40" spans="1:11" ht="21" customHeight="1">
      <c r="B40" s="23"/>
      <c r="C40" s="23"/>
      <c r="D40" s="23"/>
      <c r="E40" s="23"/>
      <c r="F40" s="23"/>
      <c r="G40" s="23"/>
      <c r="H40" s="23"/>
      <c r="I40" s="23"/>
      <c r="J40" s="23"/>
      <c r="K40" s="23"/>
    </row>
    <row r="41" spans="1:11" ht="21" customHeight="1">
      <c r="B41" s="31" t="s">
        <v>179</v>
      </c>
      <c r="C41" s="32"/>
      <c r="D41" s="32"/>
      <c r="E41" s="32"/>
      <c r="F41" s="32"/>
      <c r="G41" s="32"/>
      <c r="H41" s="32"/>
      <c r="I41" s="32"/>
      <c r="J41" s="32"/>
      <c r="K41" s="32"/>
    </row>
    <row r="42" spans="1:11" ht="21" customHeight="1">
      <c r="B42" s="23" t="s">
        <v>180</v>
      </c>
      <c r="C42" s="23"/>
      <c r="D42" s="23"/>
      <c r="E42" s="23"/>
      <c r="F42" s="23"/>
      <c r="G42" s="23"/>
      <c r="H42" s="23"/>
      <c r="I42" s="23"/>
      <c r="J42" s="23"/>
      <c r="K42" s="23"/>
    </row>
    <row r="43" spans="1:11" ht="21" customHeight="1">
      <c r="B43" s="23" t="s">
        <v>197</v>
      </c>
      <c r="C43" s="23"/>
      <c r="D43" s="23"/>
      <c r="E43" s="23"/>
      <c r="F43" s="23"/>
      <c r="G43" s="23"/>
      <c r="H43" s="23"/>
      <c r="I43" s="23"/>
      <c r="J43" s="23"/>
      <c r="K43" s="23"/>
    </row>
    <row r="44" spans="1:11" ht="21" customHeight="1">
      <c r="B44" s="23"/>
      <c r="C44" s="23"/>
      <c r="D44" s="23"/>
      <c r="E44" s="23"/>
      <c r="F44" s="23"/>
      <c r="G44" s="23"/>
      <c r="H44" s="23"/>
      <c r="I44" s="23"/>
      <c r="J44" s="23"/>
      <c r="K44" s="23"/>
    </row>
    <row r="45" spans="1:11" ht="21" customHeight="1">
      <c r="B45" s="31" t="s">
        <v>198</v>
      </c>
      <c r="C45" s="32"/>
      <c r="D45" s="32"/>
      <c r="E45" s="32"/>
      <c r="F45" s="32"/>
      <c r="G45" s="32"/>
      <c r="H45" s="32"/>
      <c r="I45" s="32"/>
      <c r="J45" s="32"/>
      <c r="K45" s="32"/>
    </row>
    <row r="46" spans="1:11" ht="21" customHeight="1">
      <c r="B46" s="32" t="s">
        <v>199</v>
      </c>
      <c r="C46" s="23"/>
      <c r="D46" s="23"/>
      <c r="E46" s="23"/>
      <c r="F46" s="23"/>
      <c r="G46" s="23"/>
      <c r="H46" s="23"/>
      <c r="I46" s="23"/>
      <c r="J46" s="23"/>
      <c r="K46" s="23"/>
    </row>
    <row r="47" spans="1:11" ht="21" customHeight="1">
      <c r="B47" s="23"/>
      <c r="C47" s="23"/>
      <c r="D47" s="23"/>
      <c r="E47" s="23"/>
      <c r="F47" s="23"/>
      <c r="G47" s="23"/>
      <c r="H47" s="23"/>
      <c r="I47" s="23"/>
      <c r="J47" s="23"/>
      <c r="K47" s="23"/>
    </row>
    <row r="48" spans="1:11" ht="21" customHeight="1">
      <c r="B48" s="31" t="s">
        <v>204</v>
      </c>
      <c r="C48" s="32"/>
      <c r="D48" s="32"/>
      <c r="E48" s="32"/>
      <c r="F48" s="32"/>
      <c r="G48" s="32"/>
      <c r="H48" s="32"/>
      <c r="I48" s="32"/>
      <c r="J48" s="32"/>
      <c r="K48" s="32"/>
    </row>
    <row r="49" spans="2:11" ht="21" customHeight="1">
      <c r="B49" s="32" t="s">
        <v>205</v>
      </c>
      <c r="C49" s="23"/>
      <c r="D49" s="23"/>
      <c r="E49" s="23"/>
      <c r="F49" s="23"/>
      <c r="G49" s="23"/>
      <c r="H49" s="23"/>
      <c r="I49" s="23"/>
      <c r="J49" s="23"/>
      <c r="K49" s="23"/>
    </row>
    <row r="50" spans="2:11" ht="21" customHeight="1">
      <c r="B50" s="23" t="s">
        <v>206</v>
      </c>
      <c r="C50" s="23"/>
      <c r="D50" s="23"/>
      <c r="E50" s="23"/>
      <c r="F50" s="23"/>
      <c r="G50" s="23"/>
      <c r="H50" s="23"/>
      <c r="I50" s="23"/>
      <c r="J50" s="23"/>
      <c r="K50" s="23"/>
    </row>
    <row r="51" spans="2:11" ht="21" customHeight="1">
      <c r="B51" s="23"/>
      <c r="C51" s="23"/>
      <c r="D51" s="23"/>
      <c r="E51" s="23"/>
      <c r="F51" s="23"/>
      <c r="G51" s="23"/>
      <c r="H51" s="23"/>
      <c r="I51" s="23"/>
      <c r="J51" s="23"/>
      <c r="K51" s="23"/>
    </row>
    <row r="52" spans="2:11" ht="21" customHeight="1">
      <c r="B52" s="31" t="s">
        <v>200</v>
      </c>
      <c r="C52" s="32"/>
      <c r="D52" s="32"/>
      <c r="E52" s="32"/>
      <c r="F52" s="32"/>
      <c r="G52" s="32"/>
      <c r="H52" s="32"/>
      <c r="I52" s="32"/>
      <c r="J52" s="32"/>
      <c r="K52" s="32"/>
    </row>
    <row r="53" spans="2:11" ht="21" customHeight="1">
      <c r="B53" s="34" t="s">
        <v>203</v>
      </c>
      <c r="C53" s="31"/>
      <c r="D53" s="31"/>
      <c r="E53" s="31"/>
      <c r="F53" s="31"/>
      <c r="G53" s="31"/>
      <c r="H53" s="31"/>
      <c r="I53" s="31"/>
      <c r="J53" s="31"/>
      <c r="K53" s="31"/>
    </row>
    <row r="54" spans="2:11" ht="21" customHeight="1">
      <c r="B54" s="23" t="s">
        <v>181</v>
      </c>
      <c r="C54" s="23"/>
      <c r="D54" s="23"/>
      <c r="E54" s="23"/>
      <c r="F54" s="23"/>
      <c r="G54" s="23"/>
      <c r="H54" s="23"/>
      <c r="I54" s="23"/>
      <c r="J54" s="23"/>
      <c r="K54" s="23"/>
    </row>
    <row r="55" spans="2:11" ht="21" customHeight="1">
      <c r="B55" s="32" t="s">
        <v>201</v>
      </c>
      <c r="C55" s="23"/>
      <c r="D55" s="23"/>
      <c r="E55" s="23"/>
      <c r="F55" s="23"/>
      <c r="G55" s="23"/>
      <c r="H55" s="23"/>
      <c r="I55" s="23"/>
      <c r="J55" s="23"/>
      <c r="K55" s="23"/>
    </row>
    <row r="56" spans="2:11" ht="21" customHeight="1">
      <c r="B56" s="33" t="s">
        <v>202</v>
      </c>
      <c r="C56" s="33"/>
      <c r="D56" s="33"/>
      <c r="E56" s="33"/>
      <c r="F56" s="33"/>
      <c r="G56" s="33"/>
      <c r="H56" s="33"/>
      <c r="I56" s="33"/>
      <c r="J56" s="33"/>
      <c r="K56" s="33"/>
    </row>
    <row r="57" spans="2:11" ht="21" customHeight="1">
      <c r="B57" s="23" t="s">
        <v>182</v>
      </c>
      <c r="C57" s="23"/>
      <c r="D57" s="23"/>
      <c r="E57" s="23"/>
      <c r="F57" s="23"/>
      <c r="G57" s="23"/>
      <c r="H57" s="23"/>
      <c r="I57" s="23"/>
      <c r="J57" s="23"/>
      <c r="K57" s="23"/>
    </row>
    <row r="58" spans="2:11" ht="21" customHeight="1">
      <c r="B58" s="23"/>
      <c r="C58" s="23"/>
      <c r="D58" s="23"/>
      <c r="E58" s="23"/>
      <c r="F58" s="23"/>
      <c r="G58" s="23"/>
      <c r="H58" s="23"/>
      <c r="I58" s="23"/>
      <c r="J58" s="23"/>
      <c r="K58" s="23"/>
    </row>
    <row r="59" spans="2:11" ht="21" customHeight="1">
      <c r="B59" s="31" t="s">
        <v>183</v>
      </c>
      <c r="C59" s="32"/>
      <c r="D59" s="32"/>
      <c r="E59" s="32"/>
      <c r="F59" s="32"/>
      <c r="G59" s="32"/>
      <c r="H59" s="32"/>
      <c r="I59" s="32"/>
      <c r="J59" s="32"/>
      <c r="K59" s="32"/>
    </row>
    <row r="60" spans="2:11" ht="21" customHeight="1">
      <c r="B60" s="23" t="s">
        <v>184</v>
      </c>
      <c r="C60" s="23"/>
      <c r="D60" s="23"/>
      <c r="E60" s="23"/>
      <c r="F60" s="23"/>
      <c r="G60" s="23"/>
      <c r="H60" s="23"/>
      <c r="I60" s="23"/>
      <c r="J60" s="23"/>
      <c r="K60" s="23"/>
    </row>
    <row r="61" spans="2:11" ht="21" customHeight="1">
      <c r="B61" s="32" t="s">
        <v>185</v>
      </c>
      <c r="C61" s="23"/>
      <c r="D61" s="23"/>
      <c r="E61" s="23"/>
      <c r="F61" s="23"/>
      <c r="G61" s="23"/>
      <c r="H61" s="23"/>
      <c r="I61" s="23"/>
      <c r="J61" s="23"/>
      <c r="K61" s="23"/>
    </row>
    <row r="62" spans="2:11" ht="21" customHeight="1">
      <c r="B62" s="23" t="s">
        <v>186</v>
      </c>
      <c r="C62" s="23"/>
      <c r="D62" s="23"/>
      <c r="E62" s="23"/>
      <c r="F62" s="23"/>
      <c r="G62" s="23"/>
      <c r="H62" s="23"/>
      <c r="I62" s="23"/>
      <c r="J62" s="23"/>
      <c r="K62" s="23"/>
    </row>
    <row r="63" spans="2:11" ht="21" customHeight="1">
      <c r="B63" s="23"/>
      <c r="C63" s="23"/>
      <c r="D63" s="23"/>
      <c r="E63" s="23"/>
      <c r="F63" s="23"/>
      <c r="G63" s="23"/>
      <c r="H63" s="23"/>
      <c r="I63" s="23"/>
      <c r="J63" s="23"/>
      <c r="K63" s="23"/>
    </row>
    <row r="64" spans="2:11" ht="21" customHeight="1">
      <c r="B64" s="31" t="s">
        <v>187</v>
      </c>
      <c r="C64" s="32"/>
      <c r="D64" s="32"/>
      <c r="E64" s="32"/>
      <c r="F64" s="32"/>
      <c r="G64" s="32"/>
      <c r="H64" s="32"/>
      <c r="I64" s="32"/>
      <c r="J64" s="32"/>
      <c r="K64" s="32"/>
    </row>
    <row r="65" spans="1:11" ht="21" customHeight="1">
      <c r="B65" s="23" t="s">
        <v>188</v>
      </c>
      <c r="C65" s="23"/>
      <c r="D65" s="23"/>
      <c r="E65" s="23"/>
      <c r="F65" s="23"/>
      <c r="G65" s="23"/>
      <c r="H65" s="23"/>
      <c r="I65" s="23"/>
      <c r="J65" s="23"/>
      <c r="K65" s="23"/>
    </row>
    <row r="66" spans="1:11" ht="21" customHeight="1">
      <c r="B66" s="33" t="s">
        <v>212</v>
      </c>
      <c r="C66" s="33"/>
      <c r="D66" s="33"/>
      <c r="E66" s="33"/>
      <c r="F66" s="33"/>
      <c r="G66" s="33"/>
      <c r="H66" s="33"/>
      <c r="I66" s="33"/>
      <c r="J66" s="33"/>
      <c r="K66" s="33"/>
    </row>
    <row r="67" spans="1:11" ht="21" customHeight="1">
      <c r="B67" s="23"/>
      <c r="C67" s="23"/>
      <c r="D67" s="23"/>
      <c r="E67" s="23"/>
      <c r="F67" s="23"/>
      <c r="G67" s="23"/>
      <c r="H67" s="23"/>
      <c r="I67" s="23"/>
      <c r="J67" s="23"/>
      <c r="K67" s="23"/>
    </row>
    <row r="68" spans="1:11" s="14" customFormat="1" ht="24" customHeight="1">
      <c r="A68" s="30" t="s">
        <v>189</v>
      </c>
      <c r="B68" s="30"/>
      <c r="C68" s="30"/>
      <c r="D68" s="30"/>
      <c r="E68" s="30"/>
      <c r="F68" s="30"/>
      <c r="G68" s="30"/>
      <c r="H68" s="30"/>
      <c r="I68" s="30"/>
      <c r="J68" s="30"/>
      <c r="K68" s="30"/>
    </row>
    <row r="69" spans="1:11" ht="21" customHeight="1">
      <c r="B69" s="32" t="s">
        <v>209</v>
      </c>
      <c r="C69" s="32"/>
      <c r="D69" s="32"/>
      <c r="E69" s="32"/>
      <c r="F69" s="32"/>
      <c r="G69" s="32"/>
      <c r="H69" s="32"/>
      <c r="I69" s="32"/>
      <c r="J69" s="32"/>
      <c r="K69" s="32"/>
    </row>
    <row r="70" spans="1:11" ht="21" customHeight="1">
      <c r="B70" s="23" t="s">
        <v>190</v>
      </c>
      <c r="C70" s="23"/>
      <c r="D70" s="23"/>
      <c r="E70" s="23"/>
      <c r="F70" s="23"/>
      <c r="G70" s="23"/>
      <c r="H70" s="23"/>
      <c r="I70" s="23"/>
      <c r="J70" s="23"/>
      <c r="K70" s="23"/>
    </row>
    <row r="71" spans="1:11" ht="21" customHeight="1">
      <c r="B71" s="23"/>
      <c r="C71" s="23"/>
      <c r="D71" s="23"/>
      <c r="E71" s="23"/>
      <c r="F71" s="23"/>
      <c r="G71" s="23"/>
      <c r="H71" s="23"/>
      <c r="I71" s="23"/>
      <c r="J71" s="23"/>
      <c r="K71" s="23"/>
    </row>
    <row r="72" spans="1:11" ht="21" customHeight="1">
      <c r="B72" s="23" t="s">
        <v>211</v>
      </c>
      <c r="C72" s="23"/>
      <c r="D72" s="23"/>
      <c r="E72" s="23"/>
      <c r="F72" s="23"/>
      <c r="G72" s="23"/>
      <c r="H72" s="23"/>
      <c r="I72" s="23"/>
      <c r="J72" s="23"/>
      <c r="K72" s="23"/>
    </row>
    <row r="73" spans="1:11" ht="21" customHeight="1">
      <c r="B73" s="23"/>
      <c r="C73" s="23"/>
      <c r="D73" s="23"/>
      <c r="E73" s="23"/>
      <c r="F73" s="23"/>
      <c r="G73" s="23"/>
      <c r="H73" s="23"/>
      <c r="I73" s="23"/>
      <c r="J73" s="23"/>
      <c r="K73" s="23"/>
    </row>
    <row r="74" spans="1:11" s="14" customFormat="1" ht="24" customHeight="1">
      <c r="A74" s="30" t="s">
        <v>117</v>
      </c>
      <c r="B74" s="30"/>
      <c r="C74" s="30"/>
      <c r="D74" s="30"/>
      <c r="E74" s="30"/>
      <c r="F74" s="30"/>
      <c r="G74" s="30"/>
      <c r="H74" s="30"/>
      <c r="I74" s="30"/>
      <c r="J74" s="30"/>
      <c r="K74" s="30"/>
    </row>
    <row r="75" spans="1:11" ht="21" customHeight="1">
      <c r="B75" s="23" t="s">
        <v>118</v>
      </c>
      <c r="C75" s="23"/>
      <c r="D75" s="23"/>
      <c r="E75" s="23"/>
      <c r="F75" s="23"/>
      <c r="G75" s="23"/>
      <c r="H75" s="23"/>
      <c r="I75" s="23"/>
      <c r="J75" s="23"/>
      <c r="K75" s="23"/>
    </row>
    <row r="76" spans="1:11" ht="21" customHeight="1">
      <c r="B76" s="23" t="s">
        <v>191</v>
      </c>
      <c r="C76" s="23"/>
      <c r="D76" s="23"/>
      <c r="E76" s="23"/>
      <c r="F76" s="23"/>
      <c r="G76" s="23"/>
      <c r="H76" s="23"/>
      <c r="I76" s="23"/>
      <c r="J76" s="23"/>
      <c r="K76" s="23"/>
    </row>
    <row r="77" spans="1:11" ht="21" customHeight="1">
      <c r="B77" s="23" t="s">
        <v>192</v>
      </c>
      <c r="C77" s="23"/>
      <c r="D77" s="23"/>
      <c r="E77" s="23"/>
      <c r="F77" s="23"/>
      <c r="G77" s="23"/>
      <c r="H77" s="23"/>
      <c r="I77" s="23"/>
      <c r="J77" s="23"/>
      <c r="K77" s="23"/>
    </row>
    <row r="78" spans="1:11" ht="21" customHeight="1">
      <c r="B78" s="23" t="s">
        <v>218</v>
      </c>
      <c r="C78" s="23"/>
      <c r="D78" s="23"/>
      <c r="E78" s="23"/>
      <c r="F78" s="23"/>
      <c r="G78" s="23"/>
      <c r="H78" s="23"/>
      <c r="I78" s="23"/>
      <c r="J78" s="23"/>
      <c r="K78" s="23"/>
    </row>
  </sheetData>
  <mergeCells count="78">
    <mergeCell ref="B75:K75"/>
    <mergeCell ref="B76:K76"/>
    <mergeCell ref="B77:K77"/>
    <mergeCell ref="B78:K78"/>
    <mergeCell ref="B53:K53"/>
    <mergeCell ref="B48:K48"/>
    <mergeCell ref="B49:K49"/>
    <mergeCell ref="B50:K50"/>
    <mergeCell ref="B71:K71"/>
    <mergeCell ref="B72:K72"/>
    <mergeCell ref="B67:K67"/>
    <mergeCell ref="A68:K68"/>
    <mergeCell ref="B69:K69"/>
    <mergeCell ref="B70:K70"/>
    <mergeCell ref="B73:K73"/>
    <mergeCell ref="A74:K74"/>
    <mergeCell ref="B61:K61"/>
    <mergeCell ref="B62:K62"/>
    <mergeCell ref="B63:K63"/>
    <mergeCell ref="B64:K64"/>
    <mergeCell ref="B65:K65"/>
    <mergeCell ref="B66:K66"/>
    <mergeCell ref="B59:K59"/>
    <mergeCell ref="B60:K60"/>
    <mergeCell ref="B52:K52"/>
    <mergeCell ref="B54:K54"/>
    <mergeCell ref="B55:K55"/>
    <mergeCell ref="B56:K56"/>
    <mergeCell ref="B57:K57"/>
    <mergeCell ref="B58:K58"/>
    <mergeCell ref="B43:K43"/>
    <mergeCell ref="B44:K44"/>
    <mergeCell ref="B45:K45"/>
    <mergeCell ref="B46:K46"/>
    <mergeCell ref="B47:K47"/>
    <mergeCell ref="B51:K51"/>
    <mergeCell ref="B37:K37"/>
    <mergeCell ref="A38:K38"/>
    <mergeCell ref="B39:K39"/>
    <mergeCell ref="B40:K40"/>
    <mergeCell ref="B41:K41"/>
    <mergeCell ref="B42:K42"/>
    <mergeCell ref="A31:K31"/>
    <mergeCell ref="B32:K32"/>
    <mergeCell ref="B33:K33"/>
    <mergeCell ref="B34:K34"/>
    <mergeCell ref="B35:K35"/>
    <mergeCell ref="B36:K36"/>
    <mergeCell ref="B25:K25"/>
    <mergeCell ref="B26:K26"/>
    <mergeCell ref="A27:K27"/>
    <mergeCell ref="B28:K28"/>
    <mergeCell ref="B29:K29"/>
    <mergeCell ref="B30:K30"/>
    <mergeCell ref="B19:K19"/>
    <mergeCell ref="B20:K20"/>
    <mergeCell ref="B21:K21"/>
    <mergeCell ref="B22:K22"/>
    <mergeCell ref="B23:K23"/>
    <mergeCell ref="B24:K24"/>
    <mergeCell ref="B13:K13"/>
    <mergeCell ref="B14:K14"/>
    <mergeCell ref="B15:K15"/>
    <mergeCell ref="B16:K16"/>
    <mergeCell ref="B17:K17"/>
    <mergeCell ref="B18:K18"/>
    <mergeCell ref="B7:K7"/>
    <mergeCell ref="B8:K8"/>
    <mergeCell ref="B9:K9"/>
    <mergeCell ref="B10:K10"/>
    <mergeCell ref="B11:K11"/>
    <mergeCell ref="B12:K12"/>
    <mergeCell ref="A1:K1"/>
    <mergeCell ref="B2:K2"/>
    <mergeCell ref="B3:K3"/>
    <mergeCell ref="B4:K4"/>
    <mergeCell ref="B5:K5"/>
    <mergeCell ref="B6:K6"/>
  </mergeCells>
  <phoneticPr fontId="1"/>
  <hyperlinks>
    <hyperlink ref="B17" r:id="rId1" xr:uid="{0E987CDC-ABA1-1644-B209-F71657269985}"/>
    <hyperlink ref="B19" r:id="rId2" xr:uid="{96A2B6CE-569D-244A-B87E-64DAFD10FC0D}"/>
    <hyperlink ref="B24" r:id="rId3" xr:uid="{41AE8F3B-E99B-3D40-A062-E5110EA47624}"/>
  </hyperlinks>
  <pageMargins left="0.7" right="0.7" top="0.75" bottom="0.75" header="0.3" footer="0.3"/>
  <pageSetup paperSize="9" scale="69" orientation="portrait" horizontalDpi="0" verticalDpi="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883CB-B3D0-A64A-840C-89805519F8E6}">
  <dimension ref="B2:J68"/>
  <sheetViews>
    <sheetView zoomScaleNormal="100" workbookViewId="0"/>
  </sheetViews>
  <sheetFormatPr baseColWidth="10" defaultRowHeight="20"/>
  <cols>
    <col min="1" max="1" width="10.7109375" style="37"/>
    <col min="2" max="2" width="4.5703125" style="37" customWidth="1"/>
    <col min="3" max="3" width="17" style="37" customWidth="1"/>
    <col min="4" max="4" width="13" style="37" customWidth="1"/>
    <col min="5" max="9" width="10.7109375" style="37"/>
    <col min="10" max="10" width="90.5703125" style="37" customWidth="1"/>
    <col min="11" max="16384" width="10.7109375" style="37"/>
  </cols>
  <sheetData>
    <row r="2" spans="2:10" ht="23">
      <c r="B2" s="35" t="s">
        <v>122</v>
      </c>
      <c r="C2" s="35"/>
      <c r="D2" s="35"/>
      <c r="E2" s="35"/>
      <c r="F2" s="35"/>
      <c r="G2" s="35"/>
      <c r="H2" s="35"/>
      <c r="I2" s="36"/>
    </row>
    <row r="3" spans="2:10" s="38" customFormat="1" ht="23">
      <c r="B3" s="36"/>
      <c r="C3" s="36"/>
      <c r="D3" s="36"/>
      <c r="E3" s="36"/>
      <c r="F3" s="36"/>
      <c r="G3" s="36"/>
      <c r="H3" s="36"/>
      <c r="I3" s="36"/>
    </row>
    <row r="4" spans="2:10" ht="23" customHeight="1">
      <c r="C4" s="37" t="s">
        <v>87</v>
      </c>
      <c r="D4" s="17" t="s">
        <v>108</v>
      </c>
      <c r="E4" s="17"/>
      <c r="J4" s="37" t="s">
        <v>88</v>
      </c>
    </row>
    <row r="5" spans="2:10">
      <c r="C5" s="37" t="s">
        <v>89</v>
      </c>
      <c r="D5" s="37" t="str">
        <f>VLOOKUP($D$4,特効計算用!$A$4:$F$7,2,)&amp;""</f>
        <v>★5</v>
      </c>
      <c r="E5" s="13"/>
      <c r="F5" s="37" t="str">
        <f t="shared" ref="F5:F8" si="0">IF(D5="","","枚")</f>
        <v>枚</v>
      </c>
      <c r="G5" s="39">
        <f>IFERROR(VLOOKUP($E5,特効計算用!$A$9:$K$16,VLOOKUP(特効計算!$D$4,特効計算用!$A$4:$H$7,8,)+VLOOKUP($D5,特効計算用!$A$18:$B$20,2,),),"")</f>
        <v>0</v>
      </c>
      <c r="J5" s="37" t="s">
        <v>90</v>
      </c>
    </row>
    <row r="6" spans="2:10">
      <c r="D6" s="37" t="str">
        <f>VLOOKUP($D$4,特効計算用!$A$4:$F$7,3,)&amp;""</f>
        <v>★4</v>
      </c>
      <c r="E6" s="13"/>
      <c r="F6" s="37" t="str">
        <f t="shared" si="0"/>
        <v>枚</v>
      </c>
      <c r="G6" s="39">
        <f>IFERROR(VLOOKUP($E6,特効計算用!$A$9:$K$16,VLOOKUP(特効計算!$D$4,特効計算用!$A$4:$H$7,8,)+VLOOKUP($D6,特効計算用!$A$18:$B$20,2,),),"")</f>
        <v>0</v>
      </c>
    </row>
    <row r="7" spans="2:10">
      <c r="D7" s="37" t="str">
        <f>VLOOKUP($D$4,特効計算用!$A$4:$F$7,4,)&amp;""</f>
        <v>★3</v>
      </c>
      <c r="F7" s="37" t="str">
        <f t="shared" si="0"/>
        <v>枚</v>
      </c>
      <c r="G7" s="39">
        <f>IFERROR(VLOOKUP($E7,特効計算用!$A$9:$K$16,VLOOKUP(特効計算!$D$4,特効計算用!$A$4:$H$7,8,)+VLOOKUP($D7,特効計算用!$A$18:$B$20,2,),),"")</f>
        <v>0</v>
      </c>
      <c r="J7" s="37" t="s">
        <v>91</v>
      </c>
    </row>
    <row r="8" spans="2:10">
      <c r="D8" s="37" t="str">
        <f>VLOOKUP($D$4,特効計算用!$A$4:$F$7,5,)&amp;""</f>
        <v>★3</v>
      </c>
      <c r="F8" s="37" t="str">
        <f t="shared" si="0"/>
        <v>枚</v>
      </c>
      <c r="G8" s="39">
        <f>IFERROR(VLOOKUP($E8,特効計算用!$A$9:$K$16,VLOOKUP(特効計算!$D$4,特効計算用!$A$4:$H$7,8,)+VLOOKUP($D8,特効計算用!$A$18:$B$20,2,),),"")</f>
        <v>0</v>
      </c>
    </row>
    <row r="9" spans="2:10">
      <c r="D9" s="37" t="str">
        <f>VLOOKUP($D$4,特効計算用!$A$4:$F$7,6,)&amp;""</f>
        <v>★3</v>
      </c>
      <c r="F9" s="37" t="str">
        <f>IF(D9="","","枚")</f>
        <v>枚</v>
      </c>
      <c r="G9" s="39">
        <f>IFERROR(VLOOKUP($E9,特効計算用!$A$9:$K$16,VLOOKUP(特効計算!$D$4,特効計算用!$A$4:$H$7,8,)+VLOOKUP($D9,特効計算用!$A$18:$B$20,2,),),"")</f>
        <v>0</v>
      </c>
    </row>
    <row r="10" spans="2:10">
      <c r="F10" s="37" t="s">
        <v>27</v>
      </c>
      <c r="G10" s="39">
        <f>SUM(G5:G9)</f>
        <v>0</v>
      </c>
      <c r="J10" s="37" t="s">
        <v>92</v>
      </c>
    </row>
    <row r="11" spans="2:10">
      <c r="J11" s="37" t="s">
        <v>93</v>
      </c>
    </row>
    <row r="12" spans="2:10">
      <c r="C12" s="37" t="s">
        <v>87</v>
      </c>
      <c r="D12" s="17" t="s">
        <v>108</v>
      </c>
      <c r="E12" s="17"/>
      <c r="J12" s="37" t="s">
        <v>94</v>
      </c>
    </row>
    <row r="13" spans="2:10">
      <c r="C13" s="37" t="s">
        <v>89</v>
      </c>
      <c r="D13" s="37" t="str">
        <f>VLOOKUP($D$12,特効計算用!$A$4:$F$7,2,)&amp;""</f>
        <v>★5</v>
      </c>
      <c r="E13" s="13"/>
      <c r="F13" s="37" t="str">
        <f t="shared" ref="F13:F16" si="1">IF(D13="","","枚")</f>
        <v>枚</v>
      </c>
      <c r="G13" s="39">
        <f>IFERROR(VLOOKUP($E13,特効計算用!$A$9:$K$16,VLOOKUP(特効計算!$D$12,特効計算用!$A$4:$H$7,8,)+VLOOKUP($D13,特効計算用!$A$18:$B$20,2,),),"")</f>
        <v>0</v>
      </c>
      <c r="J13" s="37" t="s">
        <v>95</v>
      </c>
    </row>
    <row r="14" spans="2:10">
      <c r="D14" s="37" t="str">
        <f>VLOOKUP($D$12,特効計算用!$A$4:$F$7,3,)&amp;""</f>
        <v>★4</v>
      </c>
      <c r="E14" s="13"/>
      <c r="F14" s="37" t="str">
        <f t="shared" si="1"/>
        <v>枚</v>
      </c>
      <c r="G14" s="39">
        <f>IFERROR(VLOOKUP($E14,特効計算用!$A$9:$K$16,VLOOKUP(特効計算!$D$12,特効計算用!$A$4:$H$7,8,)+VLOOKUP($D14,特効計算用!$A$18:$B$20,2,),),"")</f>
        <v>0</v>
      </c>
      <c r="J14" s="37" t="s">
        <v>96</v>
      </c>
    </row>
    <row r="15" spans="2:10">
      <c r="D15" s="37" t="str">
        <f>VLOOKUP($D$12,特効計算用!$A$4:$F$7,4,)&amp;""</f>
        <v>★3</v>
      </c>
      <c r="E15" s="13"/>
      <c r="F15" s="37" t="str">
        <f t="shared" si="1"/>
        <v>枚</v>
      </c>
      <c r="G15" s="39">
        <f>IFERROR(VLOOKUP($E15,特効計算用!$A$9:$K$16,VLOOKUP(特効計算!$D$12,特効計算用!$A$4:$H$7,8,)+VLOOKUP($D15,特効計算用!$A$18:$B$20,2,),),"")</f>
        <v>0</v>
      </c>
      <c r="J15" s="37" t="s">
        <v>97</v>
      </c>
    </row>
    <row r="16" spans="2:10">
      <c r="D16" s="37" t="str">
        <f>VLOOKUP($D$12,特効計算用!$A$4:$F$7,5,)&amp;""</f>
        <v>★3</v>
      </c>
      <c r="E16" s="13"/>
      <c r="F16" s="37" t="str">
        <f t="shared" si="1"/>
        <v>枚</v>
      </c>
      <c r="G16" s="39">
        <f>IFERROR(VLOOKUP($E16,特効計算用!$A$9:$K$16,VLOOKUP(特効計算!$D$12,特効計算用!$A$4:$H$7,8,)+VLOOKUP($D16,特効計算用!$A$18:$B$20,2,),),"")</f>
        <v>0</v>
      </c>
      <c r="J16" s="37" t="s">
        <v>98</v>
      </c>
    </row>
    <row r="17" spans="2:10">
      <c r="D17" s="37" t="str">
        <f>VLOOKUP($D$12,特効計算用!$A$4:$F$7,6,)&amp;""</f>
        <v>★3</v>
      </c>
      <c r="E17" s="13"/>
      <c r="F17" s="37" t="str">
        <f>IF(D17="","","枚")</f>
        <v>枚</v>
      </c>
      <c r="G17" s="39">
        <f>IFERROR(VLOOKUP($E17,特効計算用!$A$9:$K$16,VLOOKUP(特効計算!$D$12,特効計算用!$A$4:$H$7,8,)+VLOOKUP($D17,特効計算用!$A$18:$B$20,2,),),"")</f>
        <v>0</v>
      </c>
      <c r="J17" s="37" t="s">
        <v>99</v>
      </c>
    </row>
    <row r="18" spans="2:10">
      <c r="F18" s="37" t="s">
        <v>27</v>
      </c>
      <c r="G18" s="39">
        <f>SUM(G13:G17)</f>
        <v>0</v>
      </c>
      <c r="J18" s="37" t="s">
        <v>100</v>
      </c>
    </row>
    <row r="20" spans="2:10" ht="24" customHeight="1">
      <c r="C20" s="40"/>
      <c r="D20" s="41" t="s">
        <v>101</v>
      </c>
      <c r="E20" s="42">
        <f>COUNTIF(G5:G9,"&gt;=0.01")+COUNTIF(G13:G17,"&gt;=0.01")</f>
        <v>0</v>
      </c>
      <c r="F20" s="40" t="s">
        <v>102</v>
      </c>
      <c r="J20" s="37" t="s">
        <v>103</v>
      </c>
    </row>
    <row r="21" spans="2:10" ht="23">
      <c r="C21" s="40"/>
      <c r="D21" s="41" t="s">
        <v>119</v>
      </c>
      <c r="E21" s="43">
        <f>(G10+G18)*100</f>
        <v>0</v>
      </c>
      <c r="F21" s="40" t="s">
        <v>0</v>
      </c>
      <c r="J21" s="37" t="s">
        <v>104</v>
      </c>
    </row>
    <row r="22" spans="2:10">
      <c r="E22" s="37" t="str">
        <f>IF($E$20&gt;7,"編成カードの枚数が多すぎます","")</f>
        <v/>
      </c>
      <c r="J22" s="37" t="s">
        <v>105</v>
      </c>
    </row>
    <row r="24" spans="2:10" ht="23">
      <c r="B24" s="35" t="s">
        <v>123</v>
      </c>
      <c r="C24" s="35"/>
      <c r="D24" s="35"/>
      <c r="E24" s="35"/>
      <c r="F24" s="35"/>
      <c r="G24" s="35"/>
      <c r="H24" s="35"/>
      <c r="J24" s="37" t="s">
        <v>106</v>
      </c>
    </row>
    <row r="25" spans="2:10">
      <c r="J25" s="37" t="s">
        <v>107</v>
      </c>
    </row>
    <row r="26" spans="2:10" ht="23">
      <c r="B26" s="40"/>
      <c r="C26" s="37" t="s">
        <v>87</v>
      </c>
      <c r="D26" s="17" t="s">
        <v>108</v>
      </c>
      <c r="E26" s="17"/>
    </row>
    <row r="27" spans="2:10">
      <c r="C27" s="37" t="s">
        <v>89</v>
      </c>
      <c r="D27" s="37" t="str">
        <f>VLOOKUP($D$26,特効計算用!$A$4:$F$7,2,)&amp;""</f>
        <v>★5</v>
      </c>
      <c r="E27" s="13"/>
      <c r="F27" s="37" t="str">
        <f t="shared" ref="F27:F30" si="2">IF(D27="","","枚")</f>
        <v>枚</v>
      </c>
      <c r="G27" s="39">
        <f>IFERROR(VLOOKUP($E27,特効計算用!$A$9:$K$16,VLOOKUP(特効計算!$D$26,特効計算用!$A$4:$H$7,8,)+VLOOKUP($D27,特効計算用!$A$18:$B$20,2,),),"")</f>
        <v>0</v>
      </c>
      <c r="J27" s="37" t="s">
        <v>208</v>
      </c>
    </row>
    <row r="28" spans="2:10">
      <c r="D28" s="37" t="str">
        <f>VLOOKUP($D$26,特効計算用!$A$4:$F$7,3,)&amp;""</f>
        <v>★4</v>
      </c>
      <c r="E28" s="13"/>
      <c r="F28" s="37" t="str">
        <f t="shared" si="2"/>
        <v>枚</v>
      </c>
      <c r="G28" s="39">
        <f>IFERROR(VLOOKUP($E28,特効計算用!$A$9:$K$16,VLOOKUP(特効計算!$D$26,特効計算用!$A$4:$H$7,8,)+VLOOKUP($D28,特効計算用!$A$18:$B$20,2,),),"")</f>
        <v>0</v>
      </c>
      <c r="J28" s="37" t="s">
        <v>195</v>
      </c>
    </row>
    <row r="29" spans="2:10">
      <c r="D29" s="37" t="str">
        <f>VLOOKUP($D$26,特効計算用!$A$4:$F$7,4,)&amp;""</f>
        <v>★3</v>
      </c>
      <c r="E29" s="13"/>
      <c r="F29" s="37" t="str">
        <f t="shared" si="2"/>
        <v>枚</v>
      </c>
      <c r="G29" s="39">
        <f>IFERROR(VLOOKUP($E29,特効計算用!$A$9:$K$16,VLOOKUP(特効計算!$D$26,特効計算用!$A$4:$H$7,8,)+VLOOKUP($D29,特効計算用!$A$18:$B$20,2,),),"")</f>
        <v>0</v>
      </c>
    </row>
    <row r="30" spans="2:10">
      <c r="D30" s="37" t="str">
        <f>VLOOKUP($D$26,特効計算用!$A$4:$F$7,5,)&amp;""</f>
        <v>★3</v>
      </c>
      <c r="E30" s="13"/>
      <c r="F30" s="37" t="str">
        <f t="shared" si="2"/>
        <v>枚</v>
      </c>
      <c r="G30" s="39">
        <f>IFERROR(VLOOKUP($E30,特効計算用!$A$9:$K$16,VLOOKUP(特効計算!$D$26,特効計算用!$A$4:$H$7,8,)+VLOOKUP($D30,特効計算用!$A$18:$B$20,2,),),"")</f>
        <v>0</v>
      </c>
    </row>
    <row r="31" spans="2:10">
      <c r="D31" s="37" t="str">
        <f>VLOOKUP($D$26,特効計算用!$A$4:$F$7,6,)&amp;""</f>
        <v>★3</v>
      </c>
      <c r="F31" s="37" t="str">
        <f>IF(D31="","","枚")</f>
        <v>枚</v>
      </c>
      <c r="G31" s="39">
        <f>IFERROR(VLOOKUP($E31,特効計算用!$A$9:$K$16,VLOOKUP(特効計算!$D$26,特効計算用!$A$4:$H$7,8,)+VLOOKUP($D31,特効計算用!$A$18:$B$20,2,),),"")</f>
        <v>0</v>
      </c>
    </row>
    <row r="32" spans="2:10">
      <c r="F32" s="37" t="s">
        <v>27</v>
      </c>
      <c r="G32" s="39">
        <f>SUM(G27:G31)</f>
        <v>0</v>
      </c>
    </row>
    <row r="34" spans="2:8">
      <c r="C34" s="37" t="s">
        <v>87</v>
      </c>
      <c r="D34" s="17" t="s">
        <v>108</v>
      </c>
      <c r="E34" s="17"/>
    </row>
    <row r="35" spans="2:8">
      <c r="C35" s="37" t="s">
        <v>89</v>
      </c>
      <c r="D35" s="37" t="str">
        <f>VLOOKUP($D$34,特効計算用!$A$4:$F$7,2,)&amp;""</f>
        <v>★5</v>
      </c>
      <c r="E35" s="13"/>
      <c r="F35" s="37" t="str">
        <f t="shared" ref="F35:F38" si="3">IF(D35="","","枚")</f>
        <v>枚</v>
      </c>
      <c r="G35" s="39">
        <f>IFERROR(VLOOKUP($E35,特効計算用!$A$9:$K$16,VLOOKUP(特効計算!$D$34,特効計算用!$A$4:$H$7,8,)+VLOOKUP($D35,特効計算用!$A$18:$B$20,2,),),"")</f>
        <v>0</v>
      </c>
    </row>
    <row r="36" spans="2:8">
      <c r="D36" s="37" t="str">
        <f>VLOOKUP($D$34,特効計算用!$A$4:$F$7,3,)&amp;""</f>
        <v>★4</v>
      </c>
      <c r="E36" s="13"/>
      <c r="F36" s="37" t="str">
        <f t="shared" si="3"/>
        <v>枚</v>
      </c>
      <c r="G36" s="39">
        <f>IFERROR(VLOOKUP($E36,特効計算用!$A$9:$K$16,VLOOKUP(特効計算!$D$34,特効計算用!$A$4:$H$7,8,)+VLOOKUP($D36,特効計算用!$A$18:$B$20,2,),),"")</f>
        <v>0</v>
      </c>
    </row>
    <row r="37" spans="2:8">
      <c r="D37" s="37" t="str">
        <f>VLOOKUP($D$34,特効計算用!$A$4:$F$7,4,)&amp;""</f>
        <v>★3</v>
      </c>
      <c r="E37" s="13"/>
      <c r="F37" s="37" t="str">
        <f t="shared" si="3"/>
        <v>枚</v>
      </c>
      <c r="G37" s="39">
        <f>IFERROR(VLOOKUP($E37,特効計算用!$A$9:$K$16,VLOOKUP(特効計算!$D$34,特効計算用!$A$4:$H$7,8,)+VLOOKUP($D37,特効計算用!$A$18:$B$20,2,),),"")</f>
        <v>0</v>
      </c>
    </row>
    <row r="38" spans="2:8">
      <c r="D38" s="37" t="str">
        <f>VLOOKUP($D$34,特効計算用!$A$4:$F$7,5,)&amp;""</f>
        <v>★3</v>
      </c>
      <c r="E38" s="13"/>
      <c r="F38" s="37" t="str">
        <f t="shared" si="3"/>
        <v>枚</v>
      </c>
      <c r="G38" s="39">
        <f>IFERROR(VLOOKUP($E38,特効計算用!$A$9:$K$16,VLOOKUP(特効計算!$D$34,特効計算用!$A$4:$H$7,8,)+VLOOKUP($D38,特効計算用!$A$18:$B$20,2,),),"")</f>
        <v>0</v>
      </c>
    </row>
    <row r="39" spans="2:8">
      <c r="D39" s="37" t="str">
        <f>VLOOKUP($D$34,特効計算用!$A$4:$F$7,6,)&amp;""</f>
        <v>★3</v>
      </c>
      <c r="E39" s="13"/>
      <c r="F39" s="37" t="str">
        <f>IF(D39="","","枚")</f>
        <v>枚</v>
      </c>
      <c r="G39" s="39">
        <f>IFERROR(VLOOKUP($E39,特効計算用!$A$9:$K$16,VLOOKUP(特効計算!$D$34,特効計算用!$A$4:$H$7,8,)+VLOOKUP($D39,特効計算用!$A$18:$B$20,2,),),"")</f>
        <v>0</v>
      </c>
    </row>
    <row r="40" spans="2:8">
      <c r="F40" s="37" t="s">
        <v>27</v>
      </c>
      <c r="G40" s="39">
        <f>SUM(G35:G39)</f>
        <v>0</v>
      </c>
    </row>
    <row r="41" spans="2:8" ht="23">
      <c r="C41" s="44"/>
      <c r="D41" s="44"/>
      <c r="E41" s="44"/>
      <c r="F41" s="44"/>
    </row>
    <row r="42" spans="2:8" ht="23">
      <c r="C42" s="40"/>
      <c r="D42" s="41" t="s">
        <v>101</v>
      </c>
      <c r="E42" s="42">
        <f>IF(D45=TRUE,E20,COUNTIF(G27:G31,"&gt;=0.01")+COUNTIF(G35:G39,"&gt;=0.01"))</f>
        <v>0</v>
      </c>
      <c r="F42" s="40" t="s">
        <v>102</v>
      </c>
    </row>
    <row r="43" spans="2:8" ht="23">
      <c r="C43" s="41"/>
      <c r="D43" s="41" t="s">
        <v>120</v>
      </c>
      <c r="E43" s="43">
        <f>IF(D45=TRUE,E21,(G32+G40)*100)</f>
        <v>0</v>
      </c>
      <c r="F43" s="40" t="s">
        <v>0</v>
      </c>
    </row>
    <row r="44" spans="2:8" ht="23">
      <c r="B44" s="38"/>
      <c r="C44" s="45"/>
      <c r="D44" s="45"/>
      <c r="E44" s="37" t="str">
        <f>IF($E$42&gt;7,"編成カードの枚数が多すぎます","")</f>
        <v/>
      </c>
      <c r="F44" s="46"/>
      <c r="G44" s="38"/>
      <c r="H44" s="38"/>
    </row>
    <row r="45" spans="2:8" s="38" customFormat="1">
      <c r="B45" s="37"/>
      <c r="C45" s="37"/>
      <c r="D45" s="47" t="b">
        <v>0</v>
      </c>
      <c r="E45" s="37" t="s">
        <v>121</v>
      </c>
      <c r="F45" s="37"/>
      <c r="G45" s="37"/>
      <c r="H45" s="37"/>
    </row>
    <row r="47" spans="2:8" ht="23">
      <c r="B47" s="35" t="s">
        <v>124</v>
      </c>
      <c r="C47" s="35"/>
      <c r="D47" s="35"/>
      <c r="E47" s="35"/>
      <c r="F47" s="35"/>
      <c r="G47" s="35"/>
      <c r="H47" s="35"/>
    </row>
    <row r="49" spans="2:7" ht="23">
      <c r="B49" s="40"/>
      <c r="C49" s="37" t="s">
        <v>87</v>
      </c>
      <c r="D49" s="17" t="s">
        <v>108</v>
      </c>
      <c r="E49" s="17"/>
    </row>
    <row r="50" spans="2:7">
      <c r="C50" s="37" t="s">
        <v>89</v>
      </c>
      <c r="D50" s="37" t="str">
        <f>VLOOKUP($D$49,特効計算用!$A$4:$F$7,2,)&amp;""</f>
        <v>★5</v>
      </c>
      <c r="E50" s="13"/>
      <c r="F50" s="37" t="str">
        <f t="shared" ref="F50:F53" si="4">IF(D50="","","枚")</f>
        <v>枚</v>
      </c>
      <c r="G50" s="39">
        <f>IFERROR(VLOOKUP($E50,特効計算用!$A$9:$K$16,VLOOKUP(特効計算!$D$49,特効計算用!$A$4:$H$7,8,)+VLOOKUP($D50,特効計算用!$A$18:$B$20,2,),),"")</f>
        <v>0</v>
      </c>
    </row>
    <row r="51" spans="2:7">
      <c r="D51" s="37" t="str">
        <f>VLOOKUP($D$49,特効計算用!$A$4:$F$7,3,)&amp;""</f>
        <v>★4</v>
      </c>
      <c r="E51" s="13"/>
      <c r="F51" s="37" t="str">
        <f t="shared" si="4"/>
        <v>枚</v>
      </c>
      <c r="G51" s="39">
        <f>IFERROR(VLOOKUP($E51,特効計算用!$A$9:$K$16,VLOOKUP(特効計算!$D$49,特効計算用!$A$4:$H$7,8,)+VLOOKUP($D51,特効計算用!$A$18:$B$20,2,),),"")</f>
        <v>0</v>
      </c>
    </row>
    <row r="52" spans="2:7">
      <c r="D52" s="37" t="str">
        <f>VLOOKUP($D$49,特効計算用!$A$4:$F$7,4,)&amp;""</f>
        <v>★3</v>
      </c>
      <c r="E52" s="13"/>
      <c r="F52" s="37" t="str">
        <f t="shared" si="4"/>
        <v>枚</v>
      </c>
      <c r="G52" s="39">
        <f>IFERROR(VLOOKUP($E52,特効計算用!$A$9:$K$16,VLOOKUP(特効計算!$D$49,特効計算用!$A$4:$H$7,8,)+VLOOKUP($D52,特効計算用!$A$18:$B$20,2,),),"")</f>
        <v>0</v>
      </c>
    </row>
    <row r="53" spans="2:7">
      <c r="D53" s="37" t="str">
        <f>VLOOKUP($D$49,特効計算用!$A$4:$F$7,5,)&amp;""</f>
        <v>★3</v>
      </c>
      <c r="E53" s="13"/>
      <c r="F53" s="37" t="str">
        <f t="shared" si="4"/>
        <v>枚</v>
      </c>
      <c r="G53" s="39">
        <f>IFERROR(VLOOKUP($E53,特効計算用!$A$9:$K$16,VLOOKUP(特効計算!$D$49,特効計算用!$A$4:$H$7,8,)+VLOOKUP($D53,特効計算用!$A$18:$B$20,2,),),"")</f>
        <v>0</v>
      </c>
    </row>
    <row r="54" spans="2:7">
      <c r="D54" s="37" t="str">
        <f>VLOOKUP($D$49,特効計算用!$A$4:$F$7,6,)&amp;""</f>
        <v>★3</v>
      </c>
      <c r="E54" s="13"/>
      <c r="F54" s="37" t="str">
        <f>IF(D54="","","枚")</f>
        <v>枚</v>
      </c>
      <c r="G54" s="39">
        <f>IFERROR(VLOOKUP($E54,特効計算用!$A$9:$K$16,VLOOKUP(特効計算!$D$49,特効計算用!$A$4:$H$7,8,)+VLOOKUP($D54,特効計算用!$A$18:$B$20,2,),),"")</f>
        <v>0</v>
      </c>
    </row>
    <row r="55" spans="2:7">
      <c r="F55" s="37" t="s">
        <v>27</v>
      </c>
      <c r="G55" s="39">
        <f>SUM(G50:G54)</f>
        <v>0</v>
      </c>
    </row>
    <row r="57" spans="2:7">
      <c r="C57" s="37" t="s">
        <v>87</v>
      </c>
      <c r="D57" s="17" t="s">
        <v>108</v>
      </c>
      <c r="E57" s="17"/>
    </row>
    <row r="58" spans="2:7">
      <c r="C58" s="37" t="s">
        <v>89</v>
      </c>
      <c r="D58" s="37" t="str">
        <f>VLOOKUP($D$57,特効計算用!$A$4:$F$7,2,)&amp;""</f>
        <v>★5</v>
      </c>
      <c r="E58" s="13"/>
      <c r="F58" s="37" t="str">
        <f t="shared" ref="F58:F61" si="5">IF(D58="","","枚")</f>
        <v>枚</v>
      </c>
      <c r="G58" s="39">
        <f>IFERROR(VLOOKUP($E58,特効計算用!$A$9:$K$16,VLOOKUP(特効計算!$D$57,特効計算用!$A$4:$H$7,8,)+VLOOKUP($D58,特効計算用!$A$18:$B$20,2,),),"")</f>
        <v>0</v>
      </c>
    </row>
    <row r="59" spans="2:7">
      <c r="D59" s="37" t="str">
        <f>VLOOKUP($D$57,特効計算用!$A$4:$F$7,3,)&amp;""</f>
        <v>★4</v>
      </c>
      <c r="E59" s="13"/>
      <c r="F59" s="37" t="str">
        <f t="shared" si="5"/>
        <v>枚</v>
      </c>
      <c r="G59" s="39">
        <f>IFERROR(VLOOKUP($E59,特効計算用!$A$9:$K$16,VLOOKUP(特効計算!$D$57,特効計算用!$A$4:$H$7,8,)+VLOOKUP($D59,特効計算用!$A$18:$B$20,2,),),"")</f>
        <v>0</v>
      </c>
    </row>
    <row r="60" spans="2:7">
      <c r="D60" s="37" t="str">
        <f>VLOOKUP($D$57,特効計算用!$A$4:$F$7,4,)&amp;""</f>
        <v>★3</v>
      </c>
      <c r="E60" s="13"/>
      <c r="F60" s="37" t="str">
        <f t="shared" si="5"/>
        <v>枚</v>
      </c>
      <c r="G60" s="39">
        <f>IFERROR(VLOOKUP($E60,特効計算用!$A$9:$K$16,VLOOKUP(特効計算!$D$57,特効計算用!$A$4:$H$7,8,)+VLOOKUP($D60,特効計算用!$A$18:$B$20,2,),),"")</f>
        <v>0</v>
      </c>
    </row>
    <row r="61" spans="2:7">
      <c r="D61" s="37" t="str">
        <f>VLOOKUP($D$57,特効計算用!$A$4:$F$7,5,)&amp;""</f>
        <v>★3</v>
      </c>
      <c r="E61" s="13"/>
      <c r="F61" s="37" t="str">
        <f t="shared" si="5"/>
        <v>枚</v>
      </c>
      <c r="G61" s="39">
        <f>IFERROR(VLOOKUP($E61,特効計算用!$A$9:$K$16,VLOOKUP(特効計算!$D$57,特効計算用!$A$4:$H$7,8,)+VLOOKUP($D61,特効計算用!$A$18:$B$20,2,),),"")</f>
        <v>0</v>
      </c>
    </row>
    <row r="62" spans="2:7">
      <c r="D62" s="37" t="str">
        <f>VLOOKUP($D$57,特効計算用!$A$4:$F$7,6,)&amp;""</f>
        <v>★3</v>
      </c>
      <c r="E62" s="13"/>
      <c r="F62" s="37" t="str">
        <f>IF(D62="","","枚")</f>
        <v>枚</v>
      </c>
      <c r="G62" s="39">
        <f>IFERROR(VLOOKUP($E62,特効計算用!$A$9:$K$16,VLOOKUP(特効計算!$D$57,特効計算用!$A$4:$H$7,8,)+VLOOKUP($D62,特効計算用!$A$18:$B$20,2,),),"")</f>
        <v>0</v>
      </c>
    </row>
    <row r="63" spans="2:7">
      <c r="F63" s="37" t="s">
        <v>27</v>
      </c>
      <c r="G63" s="39">
        <f>SUM(G58:G62)</f>
        <v>0</v>
      </c>
    </row>
    <row r="64" spans="2:7" ht="23">
      <c r="C64" s="44"/>
      <c r="D64" s="44"/>
      <c r="E64" s="44"/>
      <c r="F64" s="44"/>
    </row>
    <row r="65" spans="3:6" ht="23">
      <c r="C65" s="40"/>
      <c r="D65" s="41" t="s">
        <v>101</v>
      </c>
      <c r="E65" s="42">
        <f>IF(D68=TRUE,E20,COUNTIF(G50:G54,"&gt;=0.01")+COUNTIF(G58:G62,"&gt;=0.01"))</f>
        <v>0</v>
      </c>
      <c r="F65" s="40" t="s">
        <v>102</v>
      </c>
    </row>
    <row r="66" spans="3:6" ht="23">
      <c r="C66" s="41"/>
      <c r="D66" s="41" t="s">
        <v>120</v>
      </c>
      <c r="E66" s="43">
        <f>IF(D68=TRUE,E21,(G55+G63)*100)</f>
        <v>0</v>
      </c>
      <c r="F66" s="40" t="s">
        <v>0</v>
      </c>
    </row>
    <row r="67" spans="3:6">
      <c r="E67" s="37" t="str">
        <f>IF($E$65&gt;7,"編成カードの枚数が多すぎます","")</f>
        <v/>
      </c>
    </row>
    <row r="68" spans="3:6">
      <c r="D68" s="47" t="b">
        <v>0</v>
      </c>
      <c r="E68" s="37" t="s">
        <v>121</v>
      </c>
    </row>
  </sheetData>
  <sheetProtection sheet="1" objects="1" scenarios="1"/>
  <mergeCells count="9">
    <mergeCell ref="B2:H2"/>
    <mergeCell ref="B24:H24"/>
    <mergeCell ref="B47:H47"/>
    <mergeCell ref="D49:E49"/>
    <mergeCell ref="D57:E57"/>
    <mergeCell ref="D4:E4"/>
    <mergeCell ref="D12:E12"/>
    <mergeCell ref="D26:E26"/>
    <mergeCell ref="D34:E34"/>
  </mergeCells>
  <phoneticPr fontId="1"/>
  <conditionalFormatting sqref="E5:E9">
    <cfRule type="expression" dxfId="12" priority="12">
      <formula>F5="枚"</formula>
    </cfRule>
  </conditionalFormatting>
  <conditionalFormatting sqref="E13:E17">
    <cfRule type="expression" dxfId="11" priority="11">
      <formula>F13="枚"</formula>
    </cfRule>
  </conditionalFormatting>
  <conditionalFormatting sqref="E20">
    <cfRule type="cellIs" dxfId="10" priority="10" operator="greaterThan">
      <formula>7</formula>
    </cfRule>
  </conditionalFormatting>
  <conditionalFormatting sqref="E21">
    <cfRule type="expression" dxfId="9" priority="6">
      <formula>$E$20&gt;7</formula>
    </cfRule>
  </conditionalFormatting>
  <conditionalFormatting sqref="E27:E31">
    <cfRule type="expression" dxfId="8" priority="9">
      <formula>F27="枚"</formula>
    </cfRule>
  </conditionalFormatting>
  <conditionalFormatting sqref="E35:E39">
    <cfRule type="expression" dxfId="7" priority="8">
      <formula>F35="枚"</formula>
    </cfRule>
  </conditionalFormatting>
  <conditionalFormatting sqref="E42">
    <cfRule type="cellIs" dxfId="6" priority="7" operator="greaterThan">
      <formula>7</formula>
    </cfRule>
  </conditionalFormatting>
  <conditionalFormatting sqref="E43">
    <cfRule type="expression" dxfId="5" priority="5">
      <formula>$E$42&gt;7</formula>
    </cfRule>
  </conditionalFormatting>
  <conditionalFormatting sqref="E50:E54">
    <cfRule type="expression" dxfId="4" priority="4">
      <formula>F50="枚"</formula>
    </cfRule>
  </conditionalFormatting>
  <conditionalFormatting sqref="E58:E62">
    <cfRule type="expression" dxfId="3" priority="3">
      <formula>F58="枚"</formula>
    </cfRule>
  </conditionalFormatting>
  <conditionalFormatting sqref="E65">
    <cfRule type="cellIs" dxfId="2" priority="2" operator="greaterThan">
      <formula>7</formula>
    </cfRule>
  </conditionalFormatting>
  <conditionalFormatting sqref="E66">
    <cfRule type="expression" dxfId="1" priority="1">
      <formula>$E$65&gt;7</formula>
    </cfRule>
  </conditionalFormatting>
  <dataValidations count="2">
    <dataValidation errorStyle="warning" allowBlank="1" showInputMessage="1" showErrorMessage="1" errorTitle="ライブに編成できるカードは最大7枚です" sqref="E20 E42 E65" xr:uid="{3D195D21-0336-2649-BC8A-958C8196E933}"/>
    <dataValidation type="whole" imeMode="halfAlpha" allowBlank="1" showInputMessage="1" showErrorMessage="1" errorTitle="カード1種につき最大5枚です" sqref="E5:E9 E13:E17 E27:E31 E35:E39 E50:E54 E58:E62" xr:uid="{E6E6BF1B-CCA5-D942-A8F4-3BB6704CF6B6}">
      <formula1>0</formula1>
      <formula2>5</formula2>
    </dataValidation>
  </dataValidations>
  <pageMargins left="0.7" right="0.7" top="0.75" bottom="0.75" header="0.3" footer="0.3"/>
  <pageSetup paperSize="9" scale="42" orientation="portrait" horizontalDpi="0" verticalDpi="0"/>
  <drawing r:id="rId1"/>
  <legacyDrawing r:id="rId2"/>
  <mc:AlternateContent xmlns:mc="http://schemas.openxmlformats.org/markup-compatibility/2006">
    <mc:Choice Requires="x14">
      <controls>
        <mc:AlternateContent xmlns:mc="http://schemas.openxmlformats.org/markup-compatibility/2006">
          <mc:Choice Requires="x14">
            <control shapeId="4103" r:id="rId3" name="Check Box 7">
              <controlPr defaultSize="0" autoFill="0" autoLine="0" autoPict="0">
                <anchor moveWithCells="1">
                  <from>
                    <xdr:col>3</xdr:col>
                    <xdr:colOff>457200</xdr:colOff>
                    <xdr:row>43</xdr:row>
                    <xdr:rowOff>190500</xdr:rowOff>
                  </from>
                  <to>
                    <xdr:col>3</xdr:col>
                    <xdr:colOff>812800</xdr:colOff>
                    <xdr:row>45</xdr:row>
                    <xdr:rowOff>88900</xdr:rowOff>
                  </to>
                </anchor>
              </controlPr>
            </control>
          </mc:Choice>
        </mc:AlternateContent>
        <mc:AlternateContent xmlns:mc="http://schemas.openxmlformats.org/markup-compatibility/2006">
          <mc:Choice Requires="x14">
            <control shapeId="4104" r:id="rId4" name="Check Box 8">
              <controlPr defaultSize="0" autoFill="0" autoLine="0" autoPict="0">
                <anchor moveWithCells="1">
                  <from>
                    <xdr:col>3</xdr:col>
                    <xdr:colOff>469900</xdr:colOff>
                    <xdr:row>66</xdr:row>
                    <xdr:rowOff>152400</xdr:rowOff>
                  </from>
                  <to>
                    <xdr:col>3</xdr:col>
                    <xdr:colOff>825500</xdr:colOff>
                    <xdr:row>68</xdr:row>
                    <xdr:rowOff>127000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0EADC9C-FE61-9642-A510-8E93399F3E6B}">
          <x14:formula1>
            <xm:f>特効計算用!$A$4:$A$7</xm:f>
          </x14:formula1>
          <xm:sqref>D4:E4 D12:E12 D26:E26 D34:E34 D49:E49 D57:E57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4CADE-F435-B045-ACEF-5B04FDA71E3A}">
  <dimension ref="B1:I44"/>
  <sheetViews>
    <sheetView zoomScaleNormal="100" workbookViewId="0"/>
  </sheetViews>
  <sheetFormatPr baseColWidth="10" defaultRowHeight="23" customHeight="1"/>
  <cols>
    <col min="1" max="1" width="10.7109375" style="37"/>
    <col min="2" max="2" width="26" style="37" customWidth="1"/>
    <col min="3" max="3" width="2.5703125" style="37" customWidth="1"/>
    <col min="4" max="6" width="12.7109375" style="37" customWidth="1"/>
    <col min="7" max="7" width="6" style="37" customWidth="1"/>
    <col min="8" max="8" width="8.42578125" style="37" customWidth="1"/>
    <col min="9" max="9" width="79.5703125" style="37" customWidth="1"/>
    <col min="10" max="16384" width="10.7109375" style="37"/>
  </cols>
  <sheetData>
    <row r="1" spans="2:7" ht="23" customHeight="1">
      <c r="B1" s="37" t="s">
        <v>50</v>
      </c>
    </row>
    <row r="3" spans="2:7" ht="23" customHeight="1">
      <c r="B3" s="48" t="s">
        <v>129</v>
      </c>
      <c r="C3" s="49"/>
      <c r="D3" s="49"/>
      <c r="E3" s="16"/>
      <c r="F3" s="49" t="s">
        <v>3</v>
      </c>
    </row>
    <row r="4" spans="2:7" ht="23" customHeight="1">
      <c r="B4" s="50"/>
      <c r="C4" s="49"/>
      <c r="D4" s="49"/>
      <c r="E4" s="49"/>
      <c r="F4" s="49"/>
    </row>
    <row r="5" spans="2:7" ht="23" customHeight="1">
      <c r="B5" s="48" t="s">
        <v>56</v>
      </c>
      <c r="C5" s="49"/>
      <c r="D5" s="49" t="s">
        <v>57</v>
      </c>
      <c r="E5" s="16"/>
      <c r="F5" s="49" t="s">
        <v>2</v>
      </c>
      <c r="G5" s="49"/>
    </row>
    <row r="6" spans="2:7" ht="23" customHeight="1">
      <c r="B6" s="50"/>
      <c r="C6" s="49"/>
      <c r="D6" s="49" t="s">
        <v>58</v>
      </c>
      <c r="E6" s="16"/>
      <c r="F6" s="49" t="s">
        <v>2</v>
      </c>
    </row>
    <row r="7" spans="2:7" ht="23" customHeight="1">
      <c r="B7" s="50"/>
      <c r="C7" s="49"/>
      <c r="D7" s="49" t="s">
        <v>125</v>
      </c>
      <c r="E7" s="16"/>
      <c r="F7" s="49" t="s">
        <v>126</v>
      </c>
    </row>
    <row r="8" spans="2:7" ht="23" customHeight="1">
      <c r="B8" s="50"/>
      <c r="C8" s="49"/>
      <c r="D8" s="49"/>
      <c r="E8" s="49"/>
      <c r="F8" s="49"/>
    </row>
    <row r="9" spans="2:7" ht="23" customHeight="1">
      <c r="B9" s="48" t="s">
        <v>68</v>
      </c>
      <c r="C9" s="49"/>
      <c r="D9" s="49"/>
      <c r="E9" s="16">
        <v>100</v>
      </c>
      <c r="F9" s="49" t="s">
        <v>0</v>
      </c>
    </row>
    <row r="10" spans="2:7" ht="23" customHeight="1" thickBot="1">
      <c r="B10" s="50"/>
      <c r="C10" s="49"/>
      <c r="D10" s="49"/>
      <c r="E10" s="49"/>
      <c r="F10" s="49"/>
    </row>
    <row r="11" spans="2:7" ht="23" customHeight="1" thickBot="1">
      <c r="B11" s="48" t="s">
        <v>128</v>
      </c>
      <c r="C11" s="49"/>
      <c r="D11" s="49" t="s">
        <v>57</v>
      </c>
      <c r="E11" s="9"/>
      <c r="F11" s="49" t="s">
        <v>0</v>
      </c>
    </row>
    <row r="12" spans="2:7" ht="23" customHeight="1" thickBot="1">
      <c r="B12" s="50"/>
      <c r="C12" s="49"/>
      <c r="D12" s="49" t="s">
        <v>28</v>
      </c>
      <c r="E12" s="51">
        <f>IF(ISNUMBER(E11)*1,E11/100,特効計算!E21/100)</f>
        <v>0</v>
      </c>
      <c r="F12" s="49"/>
      <c r="G12" s="37" t="str">
        <f>IF(特効計算!E20&gt;7,"特効編成を見直してください","")</f>
        <v/>
      </c>
    </row>
    <row r="13" spans="2:7" ht="23" customHeight="1" thickBot="1">
      <c r="B13" s="50"/>
      <c r="C13" s="49"/>
      <c r="D13" s="49" t="s">
        <v>58</v>
      </c>
      <c r="E13" s="9"/>
      <c r="F13" s="49" t="s">
        <v>0</v>
      </c>
      <c r="G13" s="39" t="str">
        <f>IF(特効計算!E42&gt;7,"特効編成を見直してください","")</f>
        <v/>
      </c>
    </row>
    <row r="14" spans="2:7" ht="23" customHeight="1" thickBot="1">
      <c r="B14" s="50"/>
      <c r="C14" s="49"/>
      <c r="D14" s="49" t="s">
        <v>28</v>
      </c>
      <c r="E14" s="51">
        <f>IF(ISNUMBER(E13)*1,E13/100,特効計算!E43/100)</f>
        <v>0</v>
      </c>
      <c r="F14" s="49"/>
    </row>
    <row r="15" spans="2:7" ht="23" customHeight="1" thickBot="1">
      <c r="B15" s="50"/>
      <c r="C15" s="49"/>
      <c r="D15" s="49" t="s">
        <v>127</v>
      </c>
      <c r="E15" s="9"/>
      <c r="F15" s="49" t="s">
        <v>0</v>
      </c>
    </row>
    <row r="16" spans="2:7" ht="23" customHeight="1">
      <c r="B16" s="50"/>
      <c r="C16" s="49"/>
      <c r="D16" s="49"/>
      <c r="E16" s="51">
        <f>IF(ISNUMBER(E15)*1,E15/100,特効計算!E66/100)</f>
        <v>0</v>
      </c>
      <c r="F16" s="49"/>
    </row>
    <row r="18" spans="2:8" ht="23" customHeight="1">
      <c r="B18" s="52" t="s">
        <v>5</v>
      </c>
      <c r="D18" s="37" t="s">
        <v>54</v>
      </c>
      <c r="E18" s="16"/>
      <c r="F18" s="37" t="s">
        <v>7</v>
      </c>
    </row>
    <row r="19" spans="2:8" ht="23" customHeight="1">
      <c r="D19" s="37" t="s">
        <v>55</v>
      </c>
      <c r="E19" s="16"/>
      <c r="F19" s="37" t="s">
        <v>7</v>
      </c>
    </row>
    <row r="21" spans="2:8" ht="23" customHeight="1">
      <c r="B21" s="52" t="s">
        <v>59</v>
      </c>
      <c r="E21" s="53">
        <f>IFERROR(ツアイベ計算!D34,)</f>
        <v>0</v>
      </c>
      <c r="F21" s="37" t="s">
        <v>72</v>
      </c>
    </row>
    <row r="23" spans="2:8" ht="23" customHeight="1">
      <c r="B23" s="52" t="s">
        <v>171</v>
      </c>
      <c r="E23" s="54">
        <f>IFERROR(E21*4*3/60,)</f>
        <v>0</v>
      </c>
      <c r="F23" s="37" t="s">
        <v>22</v>
      </c>
      <c r="H23" s="55"/>
    </row>
    <row r="24" spans="2:8" ht="23" customHeight="1">
      <c r="H24" s="55"/>
    </row>
    <row r="25" spans="2:8" ht="23" customHeight="1">
      <c r="B25" s="52" t="s">
        <v>53</v>
      </c>
      <c r="E25" s="53">
        <f>ツアイベ計算!D38</f>
        <v>0</v>
      </c>
      <c r="F25" s="37" t="s">
        <v>7</v>
      </c>
    </row>
    <row r="26" spans="2:8" ht="23" customHeight="1">
      <c r="B26" s="37" t="s">
        <v>60</v>
      </c>
      <c r="E26" s="56">
        <f>IFERROR(ツアイベ計算!G38,)</f>
        <v>0</v>
      </c>
      <c r="F26" s="37" t="s">
        <v>7</v>
      </c>
    </row>
    <row r="28" spans="2:8" ht="23" customHeight="1">
      <c r="B28" s="52" t="s">
        <v>30</v>
      </c>
      <c r="E28" s="16">
        <v>40</v>
      </c>
      <c r="F28" s="37" t="s">
        <v>7</v>
      </c>
    </row>
    <row r="29" spans="2:8" ht="23" customHeight="1">
      <c r="B29" s="52" t="s">
        <v>10</v>
      </c>
      <c r="E29" s="16"/>
      <c r="F29" s="37" t="s">
        <v>4</v>
      </c>
    </row>
    <row r="30" spans="2:8" ht="23" customHeight="1">
      <c r="B30" s="52" t="s">
        <v>11</v>
      </c>
      <c r="E30" s="16"/>
      <c r="F30" s="37" t="s">
        <v>4</v>
      </c>
    </row>
    <row r="31" spans="2:8" ht="23" customHeight="1">
      <c r="B31" s="52" t="s">
        <v>12</v>
      </c>
      <c r="E31" s="16"/>
      <c r="F31" s="37" t="s">
        <v>4</v>
      </c>
    </row>
    <row r="32" spans="2:8" ht="23" customHeight="1">
      <c r="B32" s="52" t="s">
        <v>6</v>
      </c>
      <c r="D32" s="57" t="s">
        <v>13</v>
      </c>
      <c r="E32" s="53">
        <f>(E25*2)-(E28*2*8)-(E29*2)-E30-E31</f>
        <v>-640</v>
      </c>
      <c r="F32" s="37" t="s">
        <v>4</v>
      </c>
    </row>
    <row r="38" spans="2:9" ht="23" customHeight="1">
      <c r="B38" s="58" t="s">
        <v>23</v>
      </c>
      <c r="C38" s="58"/>
      <c r="D38" s="58"/>
      <c r="E38" s="58"/>
      <c r="F38" s="58"/>
      <c r="G38" s="58"/>
      <c r="H38" s="58"/>
    </row>
    <row r="39" spans="2:9" ht="23" customHeight="1">
      <c r="B39" s="52" t="s">
        <v>170</v>
      </c>
      <c r="E39" s="53">
        <f>MAX(ROUNDDOWN((E26-E25)*2/35,0),0)</f>
        <v>0</v>
      </c>
      <c r="F39" s="37" t="s">
        <v>36</v>
      </c>
    </row>
    <row r="40" spans="2:9" ht="23" customHeight="1">
      <c r="B40" s="52" t="s">
        <v>163</v>
      </c>
      <c r="D40" s="61" t="s">
        <v>156</v>
      </c>
      <c r="E40" s="53">
        <f>ツアイベ計算!D47</f>
        <v>0</v>
      </c>
      <c r="F40" s="37" t="s">
        <v>161</v>
      </c>
    </row>
    <row r="41" spans="2:9" ht="23" customHeight="1">
      <c r="B41" s="52" t="s">
        <v>164</v>
      </c>
      <c r="E41" s="59">
        <f>INT(((E40+(E21*4))*3)/60)</f>
        <v>0</v>
      </c>
      <c r="F41" s="37" t="s">
        <v>165</v>
      </c>
      <c r="G41" s="59">
        <f>MOD(((E40+(E21*4))*3),60)</f>
        <v>0</v>
      </c>
      <c r="H41" s="37" t="s">
        <v>166</v>
      </c>
      <c r="I41" s="37" t="s">
        <v>169</v>
      </c>
    </row>
    <row r="42" spans="2:9" ht="23" customHeight="1">
      <c r="B42" s="52" t="s">
        <v>35</v>
      </c>
      <c r="E42" s="53">
        <f>IFERROR(E21*VLOOKUP(E18,ツアイベ計算!B1:C4,2,0)*3+E21*VLOOKUP(E19,ツアイベ計算!B1:C4,2,0),)</f>
        <v>0</v>
      </c>
      <c r="F42" s="37" t="s">
        <v>34</v>
      </c>
      <c r="H42" s="60"/>
    </row>
    <row r="43" spans="2:9" ht="23" customHeight="1">
      <c r="B43" s="52" t="s">
        <v>167</v>
      </c>
      <c r="D43" s="57" t="s">
        <v>168</v>
      </c>
      <c r="E43" s="53">
        <f>(ツアイベ計算!D38*3)+(ROUNDDOWN(ツアイベ計算!D36/100,0)*10)</f>
        <v>0</v>
      </c>
      <c r="F43" s="37" t="s">
        <v>145</v>
      </c>
      <c r="H43" s="60"/>
    </row>
    <row r="44" spans="2:9" ht="23" customHeight="1">
      <c r="B44" s="52" t="s">
        <v>73</v>
      </c>
      <c r="E44" s="53">
        <f>ROUNDUP(E3/9,0)</f>
        <v>0</v>
      </c>
      <c r="F44" s="37" t="s">
        <v>74</v>
      </c>
    </row>
  </sheetData>
  <sheetProtection sheet="1" objects="1" scenarios="1"/>
  <mergeCells count="1">
    <mergeCell ref="B38:H38"/>
  </mergeCells>
  <phoneticPr fontId="1"/>
  <dataValidations count="7">
    <dataValidation type="whole" operator="lessThan" allowBlank="1" showInputMessage="1" showErrorMessage="1" errorTitle="万単位で入力してください" error="入力できるのは999までです" sqref="E5:E8" xr:uid="{6884CCB6-9D74-7B4F-A700-C44F718AE3BD}">
      <formula1>999</formula1>
    </dataValidation>
    <dataValidation type="whole" operator="greaterThan" allowBlank="1" showInputMessage="1" showErrorMessage="1" errorTitle="整数で入力してください" sqref="E4" xr:uid="{9CD23000-2F85-7440-8473-847FB9251E42}">
      <formula1>0</formula1>
    </dataValidation>
    <dataValidation type="whole" operator="lessThan" allowBlank="1" showInputMessage="1" showErrorMessage="1" errorTitle="FEVER値は最大110%です。" sqref="E10" xr:uid="{6F44C28F-A77E-304B-BBD7-066D36CC8BCB}">
      <formula1>110</formula1>
    </dataValidation>
    <dataValidation allowBlank="1" showInputMessage="1" showErrorMessage="1" errorTitle="整数で入力してください" sqref="E12 E14 G13 E16" xr:uid="{20A069B5-953B-0C42-B926-3C5FF278FB54}"/>
    <dataValidation type="whole" operator="lessThanOrEqual" allowBlank="1" showInputMessage="1" showErrorMessage="1" errorTitle="FEVER値は最大110%です。" sqref="E9" xr:uid="{5A65F7C2-375D-7B45-A0BF-87F34E987842}">
      <formula1>110</formula1>
    </dataValidation>
    <dataValidation type="whole" operator="greaterThan" allowBlank="1" showInputMessage="1" showErrorMessage="1" errorTitle="自然数で入力してください" sqref="E3" xr:uid="{CE7BF844-8AE5-C446-8D16-BD3E6C217E1C}">
      <formula1>0</formula1>
    </dataValidation>
    <dataValidation type="whole" allowBlank="1" showInputMessage="1" showErrorMessage="1" errorTitle="自然数で入力してください" sqref="E11 E13 E15" xr:uid="{4BFBF957-64EF-EA4C-9CA4-3B5B354D4280}">
      <formula1>0</formula1>
      <formula2>999</formula2>
    </dataValidation>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7D4075E-5F4F-C24F-A8AA-0D7653AF40EF}">
          <x14:formula1>
            <xm:f>ツアイベ計算!$B$2:$B$4</xm:f>
          </x14:formula1>
          <xm:sqref>E18:E19</xm:sqref>
        </x14:dataValidation>
        <x14:dataValidation type="list" allowBlank="1" showInputMessage="1" showErrorMessage="1" xr:uid="{85961968-3366-7840-A68A-E90876028A20}">
          <x14:formula1>
            <xm:f>ツアイベ計算!$D$1:$D$7</xm:f>
          </x14:formula1>
          <xm:sqref>D40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67A5E-3211-514E-8BC0-5DFFCF175A69}">
  <dimension ref="B1:I49"/>
  <sheetViews>
    <sheetView zoomScaleNormal="100" workbookViewId="0"/>
  </sheetViews>
  <sheetFormatPr baseColWidth="10" defaultRowHeight="23" customHeight="1"/>
  <cols>
    <col min="1" max="1" width="10.7109375" style="37"/>
    <col min="2" max="2" width="26" style="37" customWidth="1"/>
    <col min="3" max="3" width="2.5703125" style="37" customWidth="1"/>
    <col min="4" max="6" width="12.7109375" style="37" customWidth="1"/>
    <col min="7" max="7" width="6.5703125" style="37" customWidth="1"/>
    <col min="8" max="8" width="8.42578125" style="37" customWidth="1"/>
    <col min="9" max="9" width="79.5703125" style="37" customWidth="1"/>
    <col min="10" max="16384" width="10.7109375" style="37"/>
  </cols>
  <sheetData>
    <row r="1" spans="2:7" ht="23" customHeight="1">
      <c r="B1" s="37" t="s">
        <v>50</v>
      </c>
    </row>
    <row r="3" spans="2:7" ht="23" customHeight="1">
      <c r="B3" s="48" t="s">
        <v>129</v>
      </c>
      <c r="C3" s="49"/>
      <c r="D3" s="49"/>
      <c r="E3" s="16"/>
      <c r="F3" s="49" t="s">
        <v>3</v>
      </c>
    </row>
    <row r="4" spans="2:7" ht="23" customHeight="1">
      <c r="B4" s="48"/>
      <c r="C4" s="49"/>
      <c r="D4" s="49"/>
      <c r="E4" s="62"/>
      <c r="F4" s="49"/>
    </row>
    <row r="5" spans="2:7" ht="23" customHeight="1">
      <c r="B5" s="48" t="s">
        <v>210</v>
      </c>
      <c r="C5" s="49"/>
      <c r="D5" s="49"/>
      <c r="E5" s="16"/>
      <c r="F5" s="49" t="s">
        <v>147</v>
      </c>
    </row>
    <row r="6" spans="2:7" ht="23" customHeight="1">
      <c r="B6" s="48"/>
      <c r="C6" s="49"/>
      <c r="D6" s="49"/>
      <c r="E6" s="62"/>
      <c r="F6" s="49"/>
    </row>
    <row r="7" spans="2:7" ht="23" customHeight="1">
      <c r="B7" s="48" t="s">
        <v>151</v>
      </c>
      <c r="C7" s="49"/>
      <c r="D7" s="49" t="s">
        <v>152</v>
      </c>
      <c r="E7" s="16"/>
      <c r="F7" s="49" t="s">
        <v>132</v>
      </c>
    </row>
    <row r="8" spans="2:7" ht="23" customHeight="1">
      <c r="B8" s="48"/>
      <c r="C8" s="49"/>
      <c r="D8" s="49" t="s">
        <v>153</v>
      </c>
      <c r="E8" s="16"/>
      <c r="F8" s="63" t="s">
        <v>145</v>
      </c>
    </row>
    <row r="9" spans="2:7" ht="23" customHeight="1">
      <c r="B9" s="48"/>
      <c r="C9" s="49"/>
      <c r="D9" s="49" t="s">
        <v>154</v>
      </c>
      <c r="E9" s="16"/>
      <c r="F9" s="63" t="s">
        <v>145</v>
      </c>
    </row>
    <row r="10" spans="2:7" ht="23" customHeight="1">
      <c r="B10" s="50"/>
      <c r="C10" s="49"/>
      <c r="D10" s="49"/>
      <c r="E10" s="49"/>
      <c r="F10" s="49"/>
    </row>
    <row r="11" spans="2:7" ht="23" customHeight="1">
      <c r="B11" s="48" t="s">
        <v>56</v>
      </c>
      <c r="C11" s="49"/>
      <c r="D11" s="49" t="s">
        <v>57</v>
      </c>
      <c r="E11" s="16"/>
      <c r="F11" s="49" t="s">
        <v>2</v>
      </c>
      <c r="G11" s="49"/>
    </row>
    <row r="12" spans="2:7" ht="23" customHeight="1">
      <c r="B12" s="50"/>
      <c r="C12" s="49"/>
      <c r="D12" s="49" t="s">
        <v>58</v>
      </c>
      <c r="E12" s="16"/>
      <c r="F12" s="49" t="s">
        <v>2</v>
      </c>
    </row>
    <row r="13" spans="2:7" ht="23" customHeight="1">
      <c r="B13" s="50"/>
      <c r="C13" s="49"/>
      <c r="D13" s="49" t="s">
        <v>125</v>
      </c>
      <c r="E13" s="16"/>
      <c r="F13" s="49" t="s">
        <v>126</v>
      </c>
    </row>
    <row r="14" spans="2:7" ht="23" customHeight="1">
      <c r="B14" s="50"/>
      <c r="C14" s="49"/>
      <c r="D14" s="49"/>
      <c r="E14" s="49"/>
      <c r="F14" s="49"/>
    </row>
    <row r="15" spans="2:7" ht="23" customHeight="1">
      <c r="B15" s="48" t="s">
        <v>68</v>
      </c>
      <c r="C15" s="49"/>
      <c r="D15" s="49"/>
      <c r="E15" s="16">
        <v>100</v>
      </c>
      <c r="F15" s="49" t="s">
        <v>0</v>
      </c>
    </row>
    <row r="16" spans="2:7" ht="23" customHeight="1" thickBot="1">
      <c r="B16" s="50"/>
      <c r="C16" s="49"/>
      <c r="D16" s="49"/>
      <c r="E16" s="49"/>
      <c r="F16" s="49"/>
    </row>
    <row r="17" spans="2:8" ht="23" customHeight="1" thickBot="1">
      <c r="B17" s="48" t="s">
        <v>128</v>
      </c>
      <c r="C17" s="49"/>
      <c r="D17" s="49" t="s">
        <v>57</v>
      </c>
      <c r="E17" s="9"/>
      <c r="F17" s="49" t="s">
        <v>0</v>
      </c>
    </row>
    <row r="18" spans="2:8" ht="23" customHeight="1" thickBot="1">
      <c r="B18" s="50"/>
      <c r="C18" s="49"/>
      <c r="D18" s="49" t="s">
        <v>28</v>
      </c>
      <c r="E18" s="51">
        <f>IF(ISNUMBER(E17)*1,E17/100,特効計算!E21/100)</f>
        <v>0</v>
      </c>
      <c r="F18" s="49"/>
    </row>
    <row r="19" spans="2:8" ht="23" customHeight="1" thickBot="1">
      <c r="B19" s="50"/>
      <c r="C19" s="49"/>
      <c r="D19" s="49" t="s">
        <v>58</v>
      </c>
      <c r="E19" s="9"/>
      <c r="F19" s="49" t="s">
        <v>0</v>
      </c>
      <c r="G19" s="39"/>
    </row>
    <row r="20" spans="2:8" ht="23" customHeight="1" thickBot="1">
      <c r="B20" s="50"/>
      <c r="C20" s="49"/>
      <c r="D20" s="49" t="s">
        <v>28</v>
      </c>
      <c r="E20" s="51">
        <f>IF(ISNUMBER(E19)*1,E19/100,特効計算!E43/100)</f>
        <v>0</v>
      </c>
      <c r="F20" s="49"/>
    </row>
    <row r="21" spans="2:8" ht="23" customHeight="1" thickBot="1">
      <c r="B21" s="50"/>
      <c r="C21" s="49"/>
      <c r="D21" s="49" t="s">
        <v>127</v>
      </c>
      <c r="E21" s="9"/>
      <c r="F21" s="49" t="s">
        <v>0</v>
      </c>
    </row>
    <row r="22" spans="2:8" ht="23" customHeight="1">
      <c r="B22" s="50"/>
      <c r="C22" s="49"/>
      <c r="D22" s="49"/>
      <c r="E22" s="51">
        <f>IF(ISNUMBER(E21)*1,E21/100,特効計算!E66/100)</f>
        <v>0</v>
      </c>
      <c r="F22" s="49"/>
    </row>
    <row r="24" spans="2:8" ht="23" customHeight="1">
      <c r="B24" s="52" t="s">
        <v>5</v>
      </c>
      <c r="D24" s="37" t="s">
        <v>54</v>
      </c>
      <c r="E24" s="16"/>
      <c r="F24" s="37" t="s">
        <v>7</v>
      </c>
    </row>
    <row r="25" spans="2:8" ht="23" customHeight="1">
      <c r="D25" s="37" t="s">
        <v>55</v>
      </c>
      <c r="E25" s="16"/>
      <c r="F25" s="37" t="s">
        <v>7</v>
      </c>
    </row>
    <row r="27" spans="2:8" ht="23" customHeight="1">
      <c r="B27" s="52" t="s">
        <v>59</v>
      </c>
      <c r="E27" s="53">
        <f>IFERROR('ツアイベ計算 (途中経過)'!D36,)</f>
        <v>0</v>
      </c>
      <c r="F27" s="37" t="s">
        <v>72</v>
      </c>
    </row>
    <row r="29" spans="2:8" ht="23" customHeight="1">
      <c r="B29" s="52" t="s">
        <v>171</v>
      </c>
      <c r="E29" s="54">
        <f>IFERROR(E27*4*3/60,)</f>
        <v>0</v>
      </c>
      <c r="F29" s="37" t="s">
        <v>22</v>
      </c>
      <c r="H29" s="55"/>
    </row>
    <row r="30" spans="2:8" ht="23" customHeight="1">
      <c r="H30" s="55"/>
    </row>
    <row r="31" spans="2:8" ht="23" customHeight="1">
      <c r="B31" s="52" t="s">
        <v>53</v>
      </c>
      <c r="E31" s="53">
        <f>'ツアイベ計算 (途中経過)'!D40</f>
        <v>0</v>
      </c>
      <c r="F31" s="37" t="s">
        <v>7</v>
      </c>
    </row>
    <row r="32" spans="2:8" ht="23" customHeight="1">
      <c r="B32" s="37" t="s">
        <v>60</v>
      </c>
      <c r="E32" s="56">
        <f>IFERROR('ツアイベ計算 (途中経過)'!G40,)</f>
        <v>0</v>
      </c>
      <c r="F32" s="37" t="s">
        <v>7</v>
      </c>
    </row>
    <row r="34" spans="2:9" ht="23" customHeight="1">
      <c r="B34" s="52" t="s">
        <v>155</v>
      </c>
      <c r="E34" s="16"/>
      <c r="F34" s="37" t="s">
        <v>7</v>
      </c>
    </row>
    <row r="35" spans="2:9" ht="23" customHeight="1">
      <c r="B35" s="52" t="s">
        <v>10</v>
      </c>
      <c r="E35" s="16"/>
      <c r="F35" s="37" t="s">
        <v>4</v>
      </c>
    </row>
    <row r="36" spans="2:9" ht="23" customHeight="1">
      <c r="B36" s="52" t="s">
        <v>11</v>
      </c>
      <c r="E36" s="16"/>
      <c r="F36" s="37" t="s">
        <v>4</v>
      </c>
    </row>
    <row r="37" spans="2:9" ht="23" customHeight="1">
      <c r="B37" s="52" t="s">
        <v>12</v>
      </c>
      <c r="E37" s="16"/>
      <c r="F37" s="37" t="s">
        <v>4</v>
      </c>
    </row>
    <row r="38" spans="2:9" ht="23" customHeight="1">
      <c r="B38" s="52" t="s">
        <v>6</v>
      </c>
      <c r="D38" s="57" t="s">
        <v>13</v>
      </c>
      <c r="E38" s="53">
        <f>(E31*2)-(E8*20)-(E9*2)-(E34*2)-(E35*2)-E36-E37</f>
        <v>0</v>
      </c>
      <c r="F38" s="37" t="s">
        <v>4</v>
      </c>
    </row>
    <row r="44" spans="2:9" ht="23" customHeight="1">
      <c r="B44" s="58" t="s">
        <v>23</v>
      </c>
      <c r="C44" s="58"/>
      <c r="D44" s="58"/>
      <c r="E44" s="58"/>
      <c r="F44" s="58"/>
      <c r="G44" s="58"/>
      <c r="H44" s="58"/>
    </row>
    <row r="45" spans="2:9" ht="23" customHeight="1">
      <c r="B45" s="64"/>
      <c r="C45" s="64"/>
      <c r="D45" s="64"/>
      <c r="E45" s="64"/>
      <c r="F45" s="64"/>
      <c r="G45" s="64"/>
      <c r="H45" s="64"/>
    </row>
    <row r="46" spans="2:9" ht="23" customHeight="1">
      <c r="B46" s="52" t="s">
        <v>163</v>
      </c>
      <c r="D46" s="61" t="s">
        <v>156</v>
      </c>
      <c r="E46" s="53">
        <f>'ツアイベ計算 (途中経過)'!D49</f>
        <v>0</v>
      </c>
      <c r="F46" s="37" t="s">
        <v>161</v>
      </c>
    </row>
    <row r="47" spans="2:9" ht="23" customHeight="1">
      <c r="B47" s="52" t="s">
        <v>164</v>
      </c>
      <c r="E47" s="59">
        <f>INT(((E46+(E27*4))*3)/60)</f>
        <v>0</v>
      </c>
      <c r="F47" s="37" t="s">
        <v>165</v>
      </c>
      <c r="G47" s="59">
        <f>MOD(((E46+(E27*4))*3),60)</f>
        <v>0</v>
      </c>
      <c r="H47" s="37" t="s">
        <v>166</v>
      </c>
      <c r="I47" s="37" t="s">
        <v>169</v>
      </c>
    </row>
    <row r="48" spans="2:9" ht="23" customHeight="1">
      <c r="B48" s="52" t="s">
        <v>35</v>
      </c>
      <c r="E48" s="53">
        <f>IFERROR(E27*VLOOKUP(E24,ツアイベ計算!B1:C4,2,0)*3+E27*VLOOKUP(E25,ツアイベ計算!B1:C4,2,0),)</f>
        <v>0</v>
      </c>
      <c r="F48" s="37" t="s">
        <v>34</v>
      </c>
      <c r="H48" s="60"/>
    </row>
    <row r="49" spans="2:8" ht="23" customHeight="1">
      <c r="B49" s="52" t="s">
        <v>172</v>
      </c>
      <c r="D49" s="57" t="s">
        <v>168</v>
      </c>
      <c r="E49" s="53">
        <f>'ツアイベ計算 (途中経過)'!D40*3+(ROUNDDOWN(途中経過用!E7/100,0)+ROUNDDOWN('ツアイベ計算 (途中経過)'!D38/100,0))*10</f>
        <v>0</v>
      </c>
      <c r="F49" s="37" t="s">
        <v>145</v>
      </c>
      <c r="H49" s="60"/>
    </row>
  </sheetData>
  <sheetProtection sheet="1" objects="1" scenarios="1"/>
  <mergeCells count="1">
    <mergeCell ref="B44:H44"/>
  </mergeCells>
  <phoneticPr fontId="1"/>
  <dataValidations count="7">
    <dataValidation allowBlank="1" showInputMessage="1" showErrorMessage="1" errorTitle="整数で入力してください" sqref="E18 E20 G19 E22" xr:uid="{B3F18D58-787A-EF47-9992-EF18911893C3}"/>
    <dataValidation type="whole" operator="lessThan" allowBlank="1" showInputMessage="1" showErrorMessage="1" errorTitle="FEVER値は最大110%です。" sqref="E16" xr:uid="{6A54AC15-5A45-B04F-A59C-C8E762587FB6}">
      <formula1>110</formula1>
    </dataValidation>
    <dataValidation type="whole" operator="greaterThan" allowBlank="1" showInputMessage="1" showErrorMessage="1" errorTitle="整数で入力してください" sqref="E3 E4:E6 E10" xr:uid="{6D7062D2-143F-724B-8ADB-905AB95C6D08}">
      <formula1>0</formula1>
    </dataValidation>
    <dataValidation type="whole" operator="lessThan" allowBlank="1" showInputMessage="1" showErrorMessage="1" errorTitle="万単位で入力してください" error="入力できるのは999までです" sqref="E11:E14" xr:uid="{256D32C1-B534-0043-82AC-6BDB990A4185}">
      <formula1>999</formula1>
    </dataValidation>
    <dataValidation type="whole" operator="lessThanOrEqual" allowBlank="1" showInputMessage="1" showErrorMessage="1" errorTitle="FEVER値は最大110%です。" sqref="E15" xr:uid="{40394A1D-62F7-5240-8B0A-8E5FF5808896}">
      <formula1>110</formula1>
    </dataValidation>
    <dataValidation type="whole" operator="greaterThan" allowBlank="1" showInputMessage="1" showErrorMessage="1" errorTitle="自然数で入力してください" sqref="E7:E9" xr:uid="{79BC7349-7223-8846-96D1-AFD45178D930}">
      <formula1>0</formula1>
    </dataValidation>
    <dataValidation type="whole" allowBlank="1" showInputMessage="1" showErrorMessage="1" errorTitle="自然数で入力してください" sqref="E17 E19 E21" xr:uid="{2C326467-0CBF-A042-8C9C-82618E60F7DA}">
      <formula1>0</formula1>
      <formula2>999</formula2>
    </dataValidation>
  </dataValidations>
  <pageMargins left="0.7" right="0.7" top="0.75" bottom="0.75" header="0.3" footer="0.3"/>
  <drawing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833991F-AF79-5C4C-AF96-A67FCB5AC723}">
          <x14:formula1>
            <xm:f>ツアイベ計算!$B$2:$B$4</xm:f>
          </x14:formula1>
          <xm:sqref>E24:E25</xm:sqref>
        </x14:dataValidation>
        <x14:dataValidation type="list" allowBlank="1" showInputMessage="1" showErrorMessage="1" xr:uid="{24BDC077-40E1-A14B-AA52-13BC91406588}">
          <x14:formula1>
            <xm:f>ツアイベ計算!$D$1:$D$7</xm:f>
          </x14:formula1>
          <xm:sqref>D46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8A81B-7F70-7D49-AE18-C6CCD59ECA01}">
  <dimension ref="B2:K10"/>
  <sheetViews>
    <sheetView zoomScale="86" zoomScaleNormal="100" workbookViewId="0"/>
  </sheetViews>
  <sheetFormatPr baseColWidth="10" defaultRowHeight="20"/>
  <cols>
    <col min="1" max="1" width="10.7109375" style="37"/>
    <col min="2" max="2" width="14.7109375" style="37" customWidth="1"/>
    <col min="3" max="16384" width="10.7109375" style="37"/>
  </cols>
  <sheetData>
    <row r="2" spans="2:11">
      <c r="B2" s="37" t="s">
        <v>109</v>
      </c>
      <c r="C2" s="15"/>
      <c r="D2" s="37" t="s">
        <v>110</v>
      </c>
    </row>
    <row r="3" spans="2:11">
      <c r="K3" s="57" t="s">
        <v>111</v>
      </c>
    </row>
    <row r="4" spans="2:11">
      <c r="B4" s="65"/>
      <c r="C4" s="66">
        <f ca="1">IF(C2="",TODAY(),C2)</f>
        <v>45702</v>
      </c>
      <c r="D4" s="66">
        <f ca="1">C4+1</f>
        <v>45703</v>
      </c>
      <c r="E4" s="66">
        <f t="shared" ref="E4:K4" ca="1" si="0">D4+1</f>
        <v>45704</v>
      </c>
      <c r="F4" s="66">
        <f t="shared" ca="1" si="0"/>
        <v>45705</v>
      </c>
      <c r="G4" s="66">
        <f t="shared" ca="1" si="0"/>
        <v>45706</v>
      </c>
      <c r="H4" s="66">
        <f t="shared" ca="1" si="0"/>
        <v>45707</v>
      </c>
      <c r="I4" s="66">
        <f t="shared" ca="1" si="0"/>
        <v>45708</v>
      </c>
      <c r="J4" s="66">
        <f t="shared" ca="1" si="0"/>
        <v>45709</v>
      </c>
      <c r="K4" s="66">
        <f t="shared" ca="1" si="0"/>
        <v>45710</v>
      </c>
    </row>
    <row r="5" spans="2:11">
      <c r="B5" s="65" t="s">
        <v>112</v>
      </c>
      <c r="C5" s="67">
        <f>イベント開始時!$E$3*1/9</f>
        <v>0</v>
      </c>
      <c r="D5" s="67">
        <f>イベント開始時!$E$3*2/9</f>
        <v>0</v>
      </c>
      <c r="E5" s="67">
        <f>イベント開始時!$E$3*3/9</f>
        <v>0</v>
      </c>
      <c r="F5" s="67">
        <f>イベント開始時!$E$3*4/9</f>
        <v>0</v>
      </c>
      <c r="G5" s="67">
        <f>イベント開始時!$E$3*5/9</f>
        <v>0</v>
      </c>
      <c r="H5" s="67">
        <f>イベント開始時!$E$3*6/9</f>
        <v>0</v>
      </c>
      <c r="I5" s="67">
        <f>イベント開始時!$E$3*7/9</f>
        <v>0</v>
      </c>
      <c r="J5" s="67">
        <f>イベント開始時!$E$3*8/9</f>
        <v>0</v>
      </c>
      <c r="K5" s="67">
        <f>イベント開始時!$E$3*9/9</f>
        <v>0</v>
      </c>
    </row>
    <row r="6" spans="2:11">
      <c r="B6" s="65" t="s">
        <v>214</v>
      </c>
      <c r="C6" s="16"/>
      <c r="D6" s="16"/>
      <c r="E6" s="16"/>
      <c r="F6" s="16"/>
      <c r="G6" s="16"/>
      <c r="H6" s="16"/>
      <c r="I6" s="16"/>
      <c r="J6" s="16"/>
      <c r="K6" s="16"/>
    </row>
    <row r="7" spans="2:11">
      <c r="B7" s="65" t="s">
        <v>215</v>
      </c>
      <c r="C7" s="16"/>
      <c r="D7" s="16"/>
      <c r="E7" s="16"/>
      <c r="F7" s="16"/>
      <c r="G7" s="16"/>
      <c r="H7" s="16"/>
      <c r="I7" s="16"/>
      <c r="J7" s="16"/>
      <c r="K7" s="16"/>
    </row>
    <row r="8" spans="2:11">
      <c r="B8" s="65" t="s">
        <v>216</v>
      </c>
      <c r="C8" s="68" t="e">
        <f>IF(C6="",#N/A,ROUNDDOWN(ROUNDDOWN(C7/100,0)*ツアイベ計算!$D$29/10000,0)+C6)</f>
        <v>#N/A</v>
      </c>
      <c r="D8" s="68" t="e">
        <f>IF(D6="",#N/A,ROUNDDOWN(ROUNDDOWN(D7/100,0)*ツアイベ計算!$D$29/10000,0)+D6)</f>
        <v>#N/A</v>
      </c>
      <c r="E8" s="68" t="e">
        <f>IF(E6="",#N/A,ROUNDDOWN(ROUNDDOWN(E7/100,0)*ツアイベ計算!$D$29/10000,0)+E6)</f>
        <v>#N/A</v>
      </c>
      <c r="F8" s="68" t="e">
        <f>IF(F6="",#N/A,ROUNDDOWN(ROUNDDOWN(F7/100,0)*ツアイベ計算!$D$29/10000,0)+F6)</f>
        <v>#N/A</v>
      </c>
      <c r="G8" s="68" t="e">
        <f>IF(G6="",#N/A,ROUNDDOWN(ROUNDDOWN(G7/100,0)*ツアイベ計算!$D$29/10000,0)+G6)</f>
        <v>#N/A</v>
      </c>
      <c r="H8" s="68" t="e">
        <f>IF(H6="",#N/A,ROUNDDOWN(ROUNDDOWN(H7/100,0)*ツアイベ計算!$D$29/10000,0)+H6)</f>
        <v>#N/A</v>
      </c>
      <c r="I8" s="68" t="e">
        <f>IF(I6="",#N/A,ROUNDDOWN(ROUNDDOWN(I7/100,0)*ツアイベ計算!$D$29/10000,0)+I6)</f>
        <v>#N/A</v>
      </c>
      <c r="J8" s="68" t="e">
        <f>IF(J6="",#N/A,ROUNDDOWN(ROUNDDOWN(J7/100,0)*ツアイベ計算!$D$29/10000,0)+J6)</f>
        <v>#N/A</v>
      </c>
      <c r="K8" s="68" t="e">
        <f>IF(K6="",#N/A,ROUNDDOWN(ROUNDDOWN(K7/100,0)*ツアイベ計算!$D$29/10000,0)+K6)</f>
        <v>#N/A</v>
      </c>
    </row>
    <row r="9" spans="2:11">
      <c r="B9" s="65" t="s">
        <v>217</v>
      </c>
      <c r="C9" s="69" t="str">
        <f t="shared" ref="C9:D9" si="1">IF(C6&lt;&gt;"",C8-C5,"")</f>
        <v/>
      </c>
      <c r="D9" s="69" t="str">
        <f t="shared" si="1"/>
        <v/>
      </c>
      <c r="E9" s="69" t="str">
        <f>IF(E6&lt;&gt;"",E8-E5,"")</f>
        <v/>
      </c>
      <c r="F9" s="69" t="str">
        <f t="shared" ref="F9" si="2">IF(F6&lt;&gt;"",F8-F5,"")</f>
        <v/>
      </c>
      <c r="G9" s="69" t="str">
        <f t="shared" ref="G9:H9" si="3">IF(G6&lt;&gt;"",G8-G5,"")</f>
        <v/>
      </c>
      <c r="H9" s="69" t="str">
        <f t="shared" si="3"/>
        <v/>
      </c>
      <c r="I9" s="69" t="str">
        <f t="shared" ref="I9" si="4">IF(I6&lt;&gt;"",I8-I5,"")</f>
        <v/>
      </c>
      <c r="J9" s="69" t="str">
        <f t="shared" ref="J9:K9" si="5">IF(J6&lt;&gt;"",J8-J5,"")</f>
        <v/>
      </c>
      <c r="K9" s="69" t="str">
        <f t="shared" si="5"/>
        <v/>
      </c>
    </row>
    <row r="10" spans="2:11">
      <c r="B10" s="65" t="s">
        <v>113</v>
      </c>
      <c r="C10" s="70" t="str">
        <f>IF(C6&lt;&gt;"",C6-イベント開始時!$E$3,"")</f>
        <v/>
      </c>
      <c r="D10" s="70" t="str">
        <f>IF(D6&lt;&gt;"",D6-イベント開始時!$E$3,"")</f>
        <v/>
      </c>
      <c r="E10" s="70" t="str">
        <f>IF(E6&lt;&gt;"",E6-イベント開始時!$E$3,"")</f>
        <v/>
      </c>
      <c r="F10" s="70" t="str">
        <f>IF(F6&lt;&gt;"",F6-イベント開始時!$E$3,"")</f>
        <v/>
      </c>
      <c r="G10" s="70" t="str">
        <f>IF(G6&lt;&gt;"",G6-イベント開始時!$E$3,"")</f>
        <v/>
      </c>
      <c r="H10" s="70" t="str">
        <f>IF(H6&lt;&gt;"",H6-イベント開始時!$E$3,"")</f>
        <v/>
      </c>
      <c r="I10" s="70" t="str">
        <f>IF(I6&lt;&gt;"",I6-イベント開始時!$E$3,"")</f>
        <v/>
      </c>
      <c r="J10" s="70" t="str">
        <f>IF(J6&lt;&gt;"",J6-イベント開始時!$E$3,"")</f>
        <v/>
      </c>
      <c r="K10" s="70" t="str">
        <f>IF(K6&lt;&gt;"",K6-イベント開始時!$E$3,"")</f>
        <v/>
      </c>
    </row>
  </sheetData>
  <sheetProtection sheet="1" objects="1" scenarios="1"/>
  <phoneticPr fontId="1"/>
  <conditionalFormatting sqref="C8:K8">
    <cfRule type="containsErrors" dxfId="0" priority="2">
      <formula>ISERROR(C8)</formula>
    </cfRule>
  </conditionalFormatting>
  <dataValidations count="2">
    <dataValidation imeMode="halfAlpha" allowBlank="1" showInputMessage="1" showErrorMessage="1" sqref="C6:K9" xr:uid="{7B697D47-8826-9849-8C2D-B1E33EF691DF}"/>
    <dataValidation type="date" imeMode="disabled" allowBlank="1" showInputMessage="1" showErrorMessage="1" errorTitle="イベント開始日を入力してください" sqref="C2" xr:uid="{95C9C9B0-BA26-974B-AB67-97EC1A29630D}">
      <formula1>43831</formula1>
      <formula2>73050</formula2>
    </dataValidation>
  </dataValidations>
  <pageMargins left="0.7" right="0.7" top="0.75" bottom="0.75" header="0.3" footer="0.3"/>
  <pageSetup paperSize="9" scale="57" orientation="portrait" horizontalDpi="0" verticalDpi="0"/>
  <ignoredErrors>
    <ignoredError sqref="C9:K9" unlockedFormula="1"/>
    <ignoredError sqref="G8:K8 C8:F8" evalError="1" unlockedFormula="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CCA91-A07E-984E-8D08-004AD55AD19C}">
  <dimension ref="B2:E39"/>
  <sheetViews>
    <sheetView workbookViewId="0"/>
  </sheetViews>
  <sheetFormatPr baseColWidth="10" defaultRowHeight="20"/>
  <cols>
    <col min="2" max="5" width="15" customWidth="1"/>
  </cols>
  <sheetData>
    <row r="2" spans="2:5">
      <c r="B2" s="8" t="s">
        <v>75</v>
      </c>
    </row>
    <row r="3" spans="2:5">
      <c r="B3" s="4" t="s">
        <v>14</v>
      </c>
      <c r="C3" s="4" t="s">
        <v>17</v>
      </c>
      <c r="D3" s="4" t="s">
        <v>16</v>
      </c>
      <c r="E3" s="4" t="s">
        <v>15</v>
      </c>
    </row>
    <row r="4" spans="2:5">
      <c r="B4" s="2" t="s">
        <v>8</v>
      </c>
      <c r="C4" s="3">
        <v>0.2</v>
      </c>
      <c r="D4" s="3">
        <v>0.05</v>
      </c>
      <c r="E4" s="3">
        <v>0.01</v>
      </c>
    </row>
    <row r="5" spans="2:5">
      <c r="B5" s="2" t="s">
        <v>18</v>
      </c>
      <c r="C5" s="3">
        <v>0.5</v>
      </c>
      <c r="D5" s="3">
        <v>0.15</v>
      </c>
      <c r="E5" s="3">
        <v>0.02</v>
      </c>
    </row>
    <row r="6" spans="2:5">
      <c r="B6" s="2" t="s">
        <v>19</v>
      </c>
      <c r="C6" s="3">
        <v>0.75</v>
      </c>
      <c r="D6" s="3">
        <v>0.25</v>
      </c>
      <c r="E6" s="3">
        <v>0.03</v>
      </c>
    </row>
    <row r="7" spans="2:5">
      <c r="B7" s="2" t="s">
        <v>20</v>
      </c>
      <c r="C7" s="3">
        <v>1</v>
      </c>
      <c r="D7" s="3">
        <v>0.35</v>
      </c>
      <c r="E7" s="3">
        <v>0.04</v>
      </c>
    </row>
    <row r="8" spans="2:5">
      <c r="B8" s="2" t="s">
        <v>9</v>
      </c>
      <c r="C8" s="3">
        <v>1.5</v>
      </c>
      <c r="D8" s="3">
        <v>0.5</v>
      </c>
      <c r="E8" s="3">
        <v>0.05</v>
      </c>
    </row>
    <row r="9" spans="2:5">
      <c r="B9" t="s">
        <v>76</v>
      </c>
    </row>
    <row r="10" spans="2:5">
      <c r="B10" s="1"/>
    </row>
    <row r="12" spans="2:5">
      <c r="B12" s="8" t="s">
        <v>77</v>
      </c>
    </row>
    <row r="13" spans="2:5">
      <c r="B13" s="4" t="s">
        <v>14</v>
      </c>
      <c r="C13" s="4" t="s">
        <v>17</v>
      </c>
      <c r="D13" s="4" t="s">
        <v>16</v>
      </c>
    </row>
    <row r="14" spans="2:5">
      <c r="B14" s="2" t="s">
        <v>8</v>
      </c>
      <c r="C14" s="3">
        <v>0.2</v>
      </c>
      <c r="D14" s="3">
        <v>7.0000000000000007E-2</v>
      </c>
    </row>
    <row r="15" spans="2:5">
      <c r="B15" s="2" t="s">
        <v>18</v>
      </c>
      <c r="C15" s="3">
        <v>0.5</v>
      </c>
      <c r="D15" s="3">
        <v>0.2</v>
      </c>
    </row>
    <row r="16" spans="2:5">
      <c r="B16" s="2" t="s">
        <v>19</v>
      </c>
      <c r="C16" s="3">
        <v>0.75</v>
      </c>
      <c r="D16" s="3">
        <v>0.3</v>
      </c>
    </row>
    <row r="17" spans="2:5">
      <c r="B17" s="2" t="s">
        <v>20</v>
      </c>
      <c r="C17" s="3">
        <v>1</v>
      </c>
      <c r="D17" s="3">
        <v>0.45</v>
      </c>
    </row>
    <row r="18" spans="2:5">
      <c r="B18" s="2" t="s">
        <v>9</v>
      </c>
      <c r="C18" s="3">
        <v>1.5</v>
      </c>
      <c r="D18" s="3">
        <v>0.6</v>
      </c>
    </row>
    <row r="19" spans="2:5">
      <c r="B19" t="s">
        <v>78</v>
      </c>
    </row>
    <row r="20" spans="2:5">
      <c r="B20" s="1"/>
    </row>
    <row r="22" spans="2:5">
      <c r="B22" s="8" t="s">
        <v>79</v>
      </c>
    </row>
    <row r="23" spans="2:5">
      <c r="B23" s="4" t="s">
        <v>21</v>
      </c>
      <c r="C23" s="4" t="s">
        <v>17</v>
      </c>
      <c r="D23" s="4" t="s">
        <v>16</v>
      </c>
      <c r="E23" s="4" t="s">
        <v>15</v>
      </c>
    </row>
    <row r="24" spans="2:5">
      <c r="B24" s="2" t="s">
        <v>8</v>
      </c>
      <c r="C24" s="3">
        <v>0.2</v>
      </c>
      <c r="D24" s="3">
        <v>0.04</v>
      </c>
      <c r="E24" s="3">
        <v>0.01</v>
      </c>
    </row>
    <row r="25" spans="2:5">
      <c r="B25" s="2" t="s">
        <v>18</v>
      </c>
      <c r="C25" s="3">
        <v>0.5</v>
      </c>
      <c r="D25" s="3">
        <v>0.11</v>
      </c>
      <c r="E25" s="3">
        <v>0.02</v>
      </c>
    </row>
    <row r="26" spans="2:5">
      <c r="B26" s="2" t="s">
        <v>19</v>
      </c>
      <c r="C26" s="3">
        <v>0.75</v>
      </c>
      <c r="D26" s="3">
        <v>0.18</v>
      </c>
      <c r="E26" s="3">
        <v>0.03</v>
      </c>
    </row>
    <row r="27" spans="2:5">
      <c r="B27" s="2" t="s">
        <v>20</v>
      </c>
      <c r="C27" s="3">
        <v>1</v>
      </c>
      <c r="D27" s="3">
        <v>0.25</v>
      </c>
      <c r="E27" s="3">
        <v>0.04</v>
      </c>
    </row>
    <row r="28" spans="2:5">
      <c r="B28" s="2" t="s">
        <v>9</v>
      </c>
      <c r="C28" s="3">
        <v>1.5</v>
      </c>
      <c r="D28" s="3">
        <v>0.35</v>
      </c>
      <c r="E28" s="3">
        <v>0.05</v>
      </c>
    </row>
    <row r="29" spans="2:5">
      <c r="B29" t="s">
        <v>80</v>
      </c>
    </row>
    <row r="32" spans="2:5">
      <c r="B32" s="8" t="s">
        <v>81</v>
      </c>
    </row>
    <row r="33" spans="2:4">
      <c r="B33" s="4" t="s">
        <v>21</v>
      </c>
      <c r="C33" s="4" t="s">
        <v>17</v>
      </c>
      <c r="D33" s="4" t="s">
        <v>16</v>
      </c>
    </row>
    <row r="34" spans="2:4">
      <c r="B34" s="2" t="s">
        <v>8</v>
      </c>
      <c r="C34" s="3">
        <v>0.15</v>
      </c>
      <c r="D34" s="3">
        <v>0.04</v>
      </c>
    </row>
    <row r="35" spans="2:4">
      <c r="B35" s="2" t="s">
        <v>18</v>
      </c>
      <c r="C35" s="3">
        <v>0.35</v>
      </c>
      <c r="D35" s="3">
        <v>0.11</v>
      </c>
    </row>
    <row r="36" spans="2:4">
      <c r="B36" s="2" t="s">
        <v>19</v>
      </c>
      <c r="C36" s="3">
        <v>0.5</v>
      </c>
      <c r="D36" s="3">
        <v>0.18</v>
      </c>
    </row>
    <row r="37" spans="2:4">
      <c r="B37" s="2" t="s">
        <v>20</v>
      </c>
      <c r="C37" s="3">
        <v>0.7</v>
      </c>
      <c r="D37" s="3">
        <v>0.25</v>
      </c>
    </row>
    <row r="38" spans="2:4">
      <c r="B38" s="2" t="s">
        <v>9</v>
      </c>
      <c r="C38" s="3">
        <v>1</v>
      </c>
      <c r="D38" s="3">
        <v>0.35</v>
      </c>
    </row>
    <row r="39" spans="2:4">
      <c r="B39" t="s">
        <v>82</v>
      </c>
    </row>
  </sheetData>
  <sheetProtection sheet="1" objects="1" scenarios="1"/>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B30A1-0AB1-CC49-870D-A5BAD82709DA}">
  <dimension ref="A4:K32"/>
  <sheetViews>
    <sheetView workbookViewId="0">
      <selection activeCell="B20" sqref="B20"/>
    </sheetView>
  </sheetViews>
  <sheetFormatPr baseColWidth="10" defaultRowHeight="20"/>
  <cols>
    <col min="1" max="1" width="19.85546875" customWidth="1"/>
    <col min="2" max="11" width="8.7109375" customWidth="1"/>
  </cols>
  <sheetData>
    <row r="4" spans="1:11">
      <c r="A4" t="s">
        <v>75</v>
      </c>
      <c r="B4" t="s">
        <v>24</v>
      </c>
      <c r="C4" t="s">
        <v>25</v>
      </c>
      <c r="D4" t="s">
        <v>26</v>
      </c>
      <c r="E4" t="s">
        <v>26</v>
      </c>
      <c r="F4" t="s">
        <v>26</v>
      </c>
      <c r="H4">
        <f>MATCH(A4,$A$9:$K$9,0)</f>
        <v>2</v>
      </c>
    </row>
    <row r="5" spans="1:11">
      <c r="A5" t="s">
        <v>77</v>
      </c>
      <c r="B5" t="s">
        <v>24</v>
      </c>
      <c r="C5" t="s">
        <v>25</v>
      </c>
      <c r="H5">
        <f t="shared" ref="H5:H7" si="0">MATCH(A5,$A$9:$K$9,0)</f>
        <v>5</v>
      </c>
    </row>
    <row r="6" spans="1:11">
      <c r="A6" t="s">
        <v>83</v>
      </c>
      <c r="B6" t="s">
        <v>24</v>
      </c>
      <c r="C6" t="s">
        <v>25</v>
      </c>
      <c r="D6" t="s">
        <v>25</v>
      </c>
      <c r="E6" t="s">
        <v>26</v>
      </c>
      <c r="H6">
        <f t="shared" si="0"/>
        <v>7</v>
      </c>
    </row>
    <row r="7" spans="1:11">
      <c r="A7" t="s">
        <v>84</v>
      </c>
      <c r="B7" t="s">
        <v>24</v>
      </c>
      <c r="C7" t="s">
        <v>24</v>
      </c>
      <c r="D7" t="s">
        <v>25</v>
      </c>
      <c r="E7" t="s">
        <v>25</v>
      </c>
      <c r="H7">
        <f t="shared" si="0"/>
        <v>10</v>
      </c>
    </row>
    <row r="9" spans="1:11">
      <c r="B9" s="11" t="s">
        <v>75</v>
      </c>
      <c r="C9" s="11"/>
      <c r="D9" s="11"/>
      <c r="E9" s="11" t="s">
        <v>77</v>
      </c>
      <c r="F9" s="11"/>
      <c r="G9" s="11" t="s">
        <v>85</v>
      </c>
      <c r="H9" s="11"/>
      <c r="I9" s="11"/>
      <c r="J9" s="11" t="s">
        <v>86</v>
      </c>
      <c r="K9" s="11"/>
    </row>
    <row r="10" spans="1:11">
      <c r="B10" t="s">
        <v>24</v>
      </c>
      <c r="C10" t="s">
        <v>25</v>
      </c>
      <c r="D10" t="s">
        <v>26</v>
      </c>
      <c r="E10" t="s">
        <v>24</v>
      </c>
      <c r="F10" t="s">
        <v>25</v>
      </c>
      <c r="G10" t="s">
        <v>24</v>
      </c>
      <c r="H10" t="s">
        <v>25</v>
      </c>
      <c r="I10" t="s">
        <v>26</v>
      </c>
      <c r="J10" t="s">
        <v>24</v>
      </c>
      <c r="K10" t="s">
        <v>25</v>
      </c>
    </row>
    <row r="11" spans="1:11">
      <c r="A11">
        <v>0</v>
      </c>
      <c r="B11" s="5">
        <v>0</v>
      </c>
      <c r="C11" s="5">
        <v>0</v>
      </c>
      <c r="D11" s="5">
        <v>0</v>
      </c>
      <c r="E11" s="5">
        <v>0</v>
      </c>
      <c r="F11" s="5">
        <v>0</v>
      </c>
      <c r="G11" s="5">
        <v>0</v>
      </c>
      <c r="H11" s="5">
        <v>0</v>
      </c>
      <c r="I11" s="5">
        <v>0</v>
      </c>
      <c r="J11" s="5">
        <v>0</v>
      </c>
      <c r="K11" s="5">
        <v>0</v>
      </c>
    </row>
    <row r="12" spans="1:11">
      <c r="A12">
        <v>1</v>
      </c>
      <c r="B12" s="5">
        <v>0.2</v>
      </c>
      <c r="C12" s="5">
        <v>0.05</v>
      </c>
      <c r="D12" s="5">
        <v>0.01</v>
      </c>
      <c r="E12" s="5">
        <v>0.2</v>
      </c>
      <c r="F12" s="5">
        <v>7.0000000000000007E-2</v>
      </c>
      <c r="G12" s="5">
        <v>0.2</v>
      </c>
      <c r="H12" s="5">
        <v>0.04</v>
      </c>
      <c r="I12" s="5">
        <v>0.01</v>
      </c>
      <c r="J12" s="5">
        <v>0.15</v>
      </c>
      <c r="K12" s="5">
        <v>0.04</v>
      </c>
    </row>
    <row r="13" spans="1:11">
      <c r="A13">
        <v>2</v>
      </c>
      <c r="B13" s="5">
        <v>0.5</v>
      </c>
      <c r="C13" s="5">
        <v>0.15</v>
      </c>
      <c r="D13" s="5">
        <v>0.02</v>
      </c>
      <c r="E13" s="5">
        <v>0.5</v>
      </c>
      <c r="F13" s="5">
        <v>0.2</v>
      </c>
      <c r="G13" s="5">
        <v>0.5</v>
      </c>
      <c r="H13" s="5">
        <v>0.11</v>
      </c>
      <c r="I13" s="5">
        <v>0.02</v>
      </c>
      <c r="J13" s="5">
        <v>0.35</v>
      </c>
      <c r="K13" s="5">
        <v>0.11</v>
      </c>
    </row>
    <row r="14" spans="1:11">
      <c r="A14">
        <v>3</v>
      </c>
      <c r="B14" s="5">
        <v>0.75</v>
      </c>
      <c r="C14" s="5">
        <v>0.25</v>
      </c>
      <c r="D14" s="5">
        <v>0.03</v>
      </c>
      <c r="E14" s="5">
        <v>0.75</v>
      </c>
      <c r="F14" s="5">
        <v>0.3</v>
      </c>
      <c r="G14" s="5">
        <v>0.75</v>
      </c>
      <c r="H14" s="5">
        <v>0.18</v>
      </c>
      <c r="I14" s="5">
        <v>0.03</v>
      </c>
      <c r="J14" s="5">
        <v>0.5</v>
      </c>
      <c r="K14" s="5">
        <v>0.18</v>
      </c>
    </row>
    <row r="15" spans="1:11">
      <c r="A15">
        <v>4</v>
      </c>
      <c r="B15" s="5">
        <v>1</v>
      </c>
      <c r="C15" s="5">
        <v>0.35</v>
      </c>
      <c r="D15" s="5">
        <v>0.04</v>
      </c>
      <c r="E15" s="5">
        <v>1</v>
      </c>
      <c r="F15" s="5">
        <v>0.45</v>
      </c>
      <c r="G15" s="5">
        <v>1</v>
      </c>
      <c r="H15" s="5">
        <v>0.25</v>
      </c>
      <c r="I15" s="5">
        <v>0.04</v>
      </c>
      <c r="J15" s="5">
        <v>0.7</v>
      </c>
      <c r="K15" s="5">
        <v>0.25</v>
      </c>
    </row>
    <row r="16" spans="1:11">
      <c r="A16">
        <v>5</v>
      </c>
      <c r="B16" s="5">
        <v>1.5</v>
      </c>
      <c r="C16" s="5">
        <v>0.5</v>
      </c>
      <c r="D16" s="5">
        <v>0.05</v>
      </c>
      <c r="E16" s="5">
        <v>1.5</v>
      </c>
      <c r="F16" s="5">
        <v>0.6</v>
      </c>
      <c r="G16" s="5">
        <v>1.5</v>
      </c>
      <c r="H16" s="5">
        <v>0.35</v>
      </c>
      <c r="I16" s="5">
        <v>0.05</v>
      </c>
      <c r="J16" s="5">
        <v>1</v>
      </c>
      <c r="K16" s="5">
        <v>0.35</v>
      </c>
    </row>
    <row r="18" spans="1:11">
      <c r="A18" t="s">
        <v>24</v>
      </c>
      <c r="B18" s="12">
        <v>0</v>
      </c>
      <c r="C18" s="12"/>
      <c r="D18" s="12"/>
      <c r="E18" s="12"/>
      <c r="F18" s="12"/>
      <c r="G18" s="12"/>
      <c r="H18" s="12"/>
      <c r="I18" s="12"/>
      <c r="J18" s="12"/>
      <c r="K18" s="12"/>
    </row>
    <row r="19" spans="1:11">
      <c r="A19" t="s">
        <v>25</v>
      </c>
      <c r="B19" s="12">
        <v>1</v>
      </c>
      <c r="C19" s="12"/>
      <c r="D19" s="12"/>
      <c r="E19" s="12"/>
      <c r="F19" s="12"/>
      <c r="G19" s="12"/>
      <c r="H19" s="12"/>
      <c r="I19" s="12"/>
      <c r="J19" s="12"/>
      <c r="K19" s="12"/>
    </row>
    <row r="20" spans="1:11">
      <c r="A20" t="s">
        <v>26</v>
      </c>
      <c r="B20" s="12">
        <v>2</v>
      </c>
      <c r="C20" s="12"/>
      <c r="D20" s="12"/>
      <c r="E20" s="12"/>
      <c r="F20" s="12"/>
      <c r="G20" s="12"/>
      <c r="H20" s="12"/>
      <c r="I20" s="12"/>
      <c r="J20" s="12"/>
      <c r="K20" s="12"/>
    </row>
    <row r="21" spans="1:11">
      <c r="B21" s="12"/>
      <c r="C21" s="12"/>
      <c r="D21" s="12"/>
      <c r="E21" s="12"/>
      <c r="F21" s="12"/>
      <c r="G21" s="12"/>
      <c r="H21" s="12"/>
      <c r="I21" s="12"/>
      <c r="J21" s="12"/>
      <c r="K21" s="12"/>
    </row>
    <row r="22" spans="1:11">
      <c r="B22" s="12"/>
      <c r="C22" s="12"/>
      <c r="D22" s="12"/>
      <c r="E22" s="12"/>
      <c r="F22" s="12"/>
      <c r="G22" s="12"/>
      <c r="H22" s="12"/>
      <c r="I22" s="12"/>
      <c r="J22" s="12"/>
      <c r="K22" s="12"/>
    </row>
    <row r="23" spans="1:11">
      <c r="B23" s="12"/>
      <c r="C23" s="12"/>
      <c r="D23" s="12"/>
      <c r="E23" s="12"/>
      <c r="F23" s="12"/>
      <c r="G23" s="12"/>
      <c r="H23" s="12"/>
      <c r="I23" s="12"/>
      <c r="J23" s="12"/>
      <c r="K23" s="12"/>
    </row>
    <row r="24" spans="1:11">
      <c r="B24" s="12"/>
      <c r="C24" s="12"/>
      <c r="D24" s="12"/>
      <c r="E24" s="12"/>
      <c r="F24" s="12"/>
      <c r="G24" s="12"/>
      <c r="H24" s="12"/>
      <c r="I24" s="12"/>
      <c r="J24" s="12"/>
      <c r="K24" s="12"/>
    </row>
    <row r="25" spans="1:11">
      <c r="B25" s="12"/>
      <c r="C25" s="12"/>
      <c r="D25" s="12"/>
      <c r="E25" s="12"/>
      <c r="F25" s="12"/>
      <c r="G25" s="12"/>
      <c r="H25" s="12"/>
      <c r="I25" s="12"/>
      <c r="J25" s="12"/>
      <c r="K25" s="12"/>
    </row>
    <row r="26" spans="1:11">
      <c r="B26" s="12"/>
      <c r="C26" s="12"/>
      <c r="D26" s="12"/>
      <c r="E26" s="12"/>
      <c r="F26" s="12"/>
      <c r="G26" s="12"/>
      <c r="H26" s="12"/>
      <c r="I26" s="12"/>
      <c r="J26" s="12"/>
      <c r="K26" s="12"/>
    </row>
    <row r="27" spans="1:11">
      <c r="B27" s="12"/>
      <c r="C27" s="12"/>
      <c r="D27" s="12"/>
      <c r="E27" s="12"/>
      <c r="F27" s="12"/>
      <c r="G27" s="12"/>
      <c r="H27" s="12"/>
      <c r="I27" s="12"/>
      <c r="J27" s="12"/>
      <c r="K27" s="12"/>
    </row>
    <row r="28" spans="1:11">
      <c r="B28" s="12"/>
      <c r="C28" s="12"/>
      <c r="D28" s="12"/>
      <c r="E28" s="12"/>
      <c r="F28" s="12"/>
      <c r="G28" s="12"/>
      <c r="H28" s="12"/>
      <c r="I28" s="12"/>
      <c r="J28" s="12"/>
      <c r="K28" s="12"/>
    </row>
    <row r="29" spans="1:11">
      <c r="B29" s="12"/>
      <c r="C29" s="12"/>
      <c r="D29" s="12"/>
      <c r="E29" s="12"/>
      <c r="F29" s="12"/>
      <c r="G29" s="12"/>
      <c r="H29" s="12"/>
      <c r="I29" s="12"/>
      <c r="J29" s="12"/>
      <c r="K29" s="12"/>
    </row>
    <row r="30" spans="1:11">
      <c r="B30" s="12"/>
      <c r="C30" s="12"/>
      <c r="D30" s="12"/>
      <c r="E30" s="12"/>
      <c r="F30" s="12"/>
      <c r="G30" s="12"/>
      <c r="H30" s="12"/>
      <c r="I30" s="12"/>
      <c r="J30" s="12"/>
      <c r="K30" s="12"/>
    </row>
    <row r="31" spans="1:11">
      <c r="B31" s="12"/>
      <c r="C31" s="12"/>
      <c r="D31" s="12"/>
      <c r="E31" s="12"/>
      <c r="F31" s="12"/>
      <c r="G31" s="12"/>
      <c r="H31" s="12"/>
      <c r="I31" s="12"/>
      <c r="J31" s="12"/>
      <c r="K31" s="12"/>
    </row>
    <row r="32" spans="1:11">
      <c r="B32" s="12"/>
      <c r="C32" s="12"/>
      <c r="D32" s="12"/>
      <c r="E32" s="12"/>
      <c r="F32" s="12"/>
      <c r="G32" s="12"/>
      <c r="H32" s="12"/>
      <c r="I32" s="12"/>
      <c r="J32" s="12"/>
      <c r="K32" s="12"/>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6599A-B10D-0D42-B283-117319B32D51}">
  <dimension ref="A1:H47"/>
  <sheetViews>
    <sheetView workbookViewId="0">
      <selection activeCell="D17" sqref="D17"/>
    </sheetView>
  </sheetViews>
  <sheetFormatPr baseColWidth="10" defaultRowHeight="20"/>
  <cols>
    <col min="1" max="1" width="23" customWidth="1"/>
    <col min="2" max="3" width="17.42578125" customWidth="1"/>
    <col min="4" max="4" width="17.42578125" style="10" customWidth="1"/>
    <col min="5" max="5" width="13.7109375" customWidth="1"/>
    <col min="6" max="7" width="17.42578125" customWidth="1"/>
  </cols>
  <sheetData>
    <row r="1" spans="1:8">
      <c r="B1" s="18" t="s">
        <v>5</v>
      </c>
      <c r="C1" s="18" t="s">
        <v>33</v>
      </c>
      <c r="D1" s="19" t="s">
        <v>157</v>
      </c>
    </row>
    <row r="2" spans="1:8">
      <c r="B2" s="20">
        <v>3</v>
      </c>
      <c r="C2" s="20">
        <v>20</v>
      </c>
      <c r="D2" s="20">
        <v>100</v>
      </c>
    </row>
    <row r="3" spans="1:8">
      <c r="B3" s="20">
        <v>6</v>
      </c>
      <c r="C3" s="20">
        <v>30</v>
      </c>
      <c r="D3" s="20">
        <v>500</v>
      </c>
    </row>
    <row r="4" spans="1:8">
      <c r="B4" s="20">
        <v>10</v>
      </c>
      <c r="C4" s="20">
        <v>40</v>
      </c>
      <c r="D4" s="20">
        <v>1000</v>
      </c>
    </row>
    <row r="5" spans="1:8">
      <c r="B5" s="20"/>
      <c r="C5" s="20"/>
      <c r="D5" s="20">
        <v>2000</v>
      </c>
    </row>
    <row r="6" spans="1:8">
      <c r="B6" s="20"/>
      <c r="C6" s="20"/>
      <c r="D6" s="20"/>
    </row>
    <row r="7" spans="1:8">
      <c r="B7" s="20"/>
      <c r="C7" s="20"/>
      <c r="D7" s="20"/>
    </row>
    <row r="10" spans="1:8">
      <c r="G10" t="s">
        <v>146</v>
      </c>
    </row>
    <row r="11" spans="1:8">
      <c r="A11" t="s">
        <v>61</v>
      </c>
      <c r="B11" t="s">
        <v>62</v>
      </c>
      <c r="D11" s="7">
        <f>2500*イベント開始時!E18</f>
        <v>0</v>
      </c>
      <c r="E11" t="s">
        <v>32</v>
      </c>
    </row>
    <row r="12" spans="1:8">
      <c r="B12" t="s">
        <v>1</v>
      </c>
      <c r="D12" s="7">
        <f>ROUNDDOWN(イベント開始時!E5*10000*0.02%,0)*イベント開始時!E18</f>
        <v>0</v>
      </c>
      <c r="E12" t="s">
        <v>32</v>
      </c>
    </row>
    <row r="13" spans="1:8">
      <c r="B13" t="s">
        <v>65</v>
      </c>
      <c r="C13" s="5">
        <f>イベント開始時!E12</f>
        <v>0</v>
      </c>
      <c r="D13" s="7">
        <f>ROUNDDOWN((D11+D12)*イベント開始時!E12,0)</f>
        <v>0</v>
      </c>
      <c r="E13" t="s">
        <v>32</v>
      </c>
    </row>
    <row r="14" spans="1:8">
      <c r="B14" t="s">
        <v>66</v>
      </c>
      <c r="D14" s="6">
        <f>SUM(D11:D13)</f>
        <v>0</v>
      </c>
      <c r="E14" t="s">
        <v>32</v>
      </c>
      <c r="G14" s="7">
        <f>D11+D12</f>
        <v>0</v>
      </c>
      <c r="H14" t="s">
        <v>32</v>
      </c>
    </row>
    <row r="16" spans="1:8">
      <c r="A16" t="s">
        <v>58</v>
      </c>
      <c r="B16" t="s">
        <v>63</v>
      </c>
      <c r="D16" s="7">
        <f>2250*イベント開始時!E19</f>
        <v>0</v>
      </c>
      <c r="E16" t="s">
        <v>32</v>
      </c>
    </row>
    <row r="17" spans="1:8">
      <c r="B17" t="s">
        <v>1</v>
      </c>
      <c r="D17" s="7">
        <f>ROUNDDOWN(イベント開始時!E6*10000*0.02%,0)*イベント開始時!E19</f>
        <v>0</v>
      </c>
      <c r="E17" t="s">
        <v>32</v>
      </c>
    </row>
    <row r="18" spans="1:8">
      <c r="B18" t="s">
        <v>67</v>
      </c>
      <c r="C18" s="5">
        <f>イベント開始時!E14</f>
        <v>0</v>
      </c>
      <c r="D18" s="7">
        <f>(D16+D17)*イベント開始時!E14</f>
        <v>0</v>
      </c>
      <c r="E18" t="s">
        <v>32</v>
      </c>
    </row>
    <row r="19" spans="1:8">
      <c r="B19" t="s">
        <v>64</v>
      </c>
      <c r="D19" s="7">
        <f>ROUNDDOWN((D16+D17+D18)*イベント開始時!E9/100,)</f>
        <v>0</v>
      </c>
      <c r="E19" t="s">
        <v>32</v>
      </c>
    </row>
    <row r="20" spans="1:8">
      <c r="B20" t="s">
        <v>69</v>
      </c>
      <c r="D20" s="6">
        <f>SUM(D16:D19)</f>
        <v>0</v>
      </c>
      <c r="E20" t="s">
        <v>32</v>
      </c>
      <c r="G20" s="7">
        <f>ROUNDDOWN((D16+D17)*(1+イベント開始時!E9/100),0)</f>
        <v>0</v>
      </c>
      <c r="H20" t="s">
        <v>32</v>
      </c>
    </row>
    <row r="22" spans="1:8">
      <c r="A22" t="s">
        <v>70</v>
      </c>
      <c r="B22" t="s">
        <v>5</v>
      </c>
      <c r="D22" s="7">
        <f>イベント開始時!E18*3+イベント開始時!E19</f>
        <v>0</v>
      </c>
      <c r="E22" t="s">
        <v>7</v>
      </c>
    </row>
    <row r="23" spans="1:8">
      <c r="B23" t="s">
        <v>71</v>
      </c>
      <c r="D23" s="6">
        <f>D14*3+D20</f>
        <v>0</v>
      </c>
      <c r="E23" t="s">
        <v>32</v>
      </c>
      <c r="G23" s="7">
        <f>G14*3+G20</f>
        <v>0</v>
      </c>
      <c r="H23" t="s">
        <v>32</v>
      </c>
    </row>
    <row r="25" spans="1:8">
      <c r="A25" t="s">
        <v>125</v>
      </c>
      <c r="B25" t="s">
        <v>130</v>
      </c>
      <c r="C25" t="s">
        <v>131</v>
      </c>
      <c r="D25" s="7">
        <f>D22*10</f>
        <v>0</v>
      </c>
      <c r="E25" t="s">
        <v>132</v>
      </c>
    </row>
    <row r="26" spans="1:8">
      <c r="B26" t="s">
        <v>133</v>
      </c>
      <c r="C26" t="s">
        <v>134</v>
      </c>
      <c r="D26" s="7">
        <v>10000</v>
      </c>
      <c r="E26" t="s">
        <v>32</v>
      </c>
    </row>
    <row r="27" spans="1:8">
      <c r="B27" t="s">
        <v>1</v>
      </c>
      <c r="C27" t="s">
        <v>134</v>
      </c>
      <c r="D27" s="7">
        <f>イベント開始時!E7*2</f>
        <v>0</v>
      </c>
      <c r="E27" t="s">
        <v>32</v>
      </c>
    </row>
    <row r="28" spans="1:8">
      <c r="B28" t="s">
        <v>135</v>
      </c>
      <c r="C28" s="5">
        <f>イベント開始時!E16</f>
        <v>0</v>
      </c>
      <c r="D28" s="7">
        <f>(D26+D27)*イベント開始時!E16</f>
        <v>0</v>
      </c>
      <c r="E28" t="s">
        <v>32</v>
      </c>
    </row>
    <row r="29" spans="1:8">
      <c r="B29" t="s">
        <v>136</v>
      </c>
      <c r="C29" t="s">
        <v>134</v>
      </c>
      <c r="D29" s="6">
        <f>SUM(D26:D28)</f>
        <v>10000</v>
      </c>
      <c r="E29" t="s">
        <v>32</v>
      </c>
      <c r="G29" s="7">
        <f>SUM(D26:D27)</f>
        <v>10000</v>
      </c>
      <c r="H29" t="s">
        <v>32</v>
      </c>
    </row>
    <row r="30" spans="1:8">
      <c r="C30" t="s">
        <v>137</v>
      </c>
      <c r="D30" s="6">
        <f>D29*D25/100</f>
        <v>0</v>
      </c>
      <c r="E30" t="s">
        <v>138</v>
      </c>
      <c r="G30" s="7">
        <f>G29*D25/100</f>
        <v>0</v>
      </c>
      <c r="H30" t="s">
        <v>32</v>
      </c>
    </row>
    <row r="32" spans="1:8">
      <c r="A32" t="s">
        <v>139</v>
      </c>
      <c r="D32" s="6">
        <f>D23+D30</f>
        <v>0</v>
      </c>
      <c r="E32" t="s">
        <v>32</v>
      </c>
      <c r="G32" s="7">
        <f>G23+G30</f>
        <v>0</v>
      </c>
      <c r="H32" t="s">
        <v>32</v>
      </c>
    </row>
    <row r="34" spans="1:8">
      <c r="A34" t="s">
        <v>140</v>
      </c>
      <c r="D34" s="6">
        <f>IFERROR(ROUNDUP(イベント開始時!E3*10000/ツアイベ計算!D32,0),)</f>
        <v>0</v>
      </c>
      <c r="E34" t="s">
        <v>141</v>
      </c>
      <c r="G34" s="7">
        <f>IFERROR(ROUNDUP(イベント開始時!E3*10000/ツアイベ計算!G32,0),)</f>
        <v>0</v>
      </c>
      <c r="H34" t="s">
        <v>141</v>
      </c>
    </row>
    <row r="36" spans="1:8">
      <c r="A36" t="s">
        <v>142</v>
      </c>
      <c r="D36" s="6">
        <f>(D22*D34)*10</f>
        <v>0</v>
      </c>
      <c r="E36" t="s">
        <v>132</v>
      </c>
      <c r="G36" s="7">
        <f>(D22*G34)*10</f>
        <v>0</v>
      </c>
      <c r="H36" t="s">
        <v>132</v>
      </c>
    </row>
    <row r="38" spans="1:8">
      <c r="A38" t="s">
        <v>143</v>
      </c>
      <c r="D38" s="6">
        <f>D22*D34</f>
        <v>0</v>
      </c>
      <c r="E38" t="s">
        <v>7</v>
      </c>
      <c r="G38" s="7">
        <f>D22*G34</f>
        <v>0</v>
      </c>
      <c r="H38" t="s">
        <v>7</v>
      </c>
    </row>
    <row r="39" spans="1:8">
      <c r="C39" t="s">
        <v>144</v>
      </c>
      <c r="D39" s="6">
        <f>D38*2</f>
        <v>0</v>
      </c>
      <c r="E39" t="s">
        <v>145</v>
      </c>
      <c r="G39" s="7">
        <f>G38*2</f>
        <v>0</v>
      </c>
      <c r="H39" t="s">
        <v>145</v>
      </c>
    </row>
    <row r="42" spans="1:8">
      <c r="A42" t="s">
        <v>152</v>
      </c>
      <c r="B42" t="s">
        <v>158</v>
      </c>
      <c r="D42" s="7">
        <f>D36</f>
        <v>0</v>
      </c>
      <c r="E42" t="s">
        <v>132</v>
      </c>
    </row>
    <row r="43" spans="1:8">
      <c r="B43" t="s">
        <v>159</v>
      </c>
      <c r="C43">
        <v>2000</v>
      </c>
      <c r="D43" s="7">
        <f>IF(イベント開始時!D40=2000,ROUNDDOWN(ツアイベ計算!D42/2000,0),)</f>
        <v>0</v>
      </c>
      <c r="E43" t="s">
        <v>161</v>
      </c>
      <c r="F43" t="s">
        <v>160</v>
      </c>
      <c r="G43" s="7">
        <f>D42-(C43*D43)</f>
        <v>0</v>
      </c>
      <c r="H43" t="s">
        <v>132</v>
      </c>
    </row>
    <row r="44" spans="1:8">
      <c r="C44">
        <v>1000</v>
      </c>
      <c r="D44" s="7">
        <f>IF(OR(D43&gt;=1,イベント開始時!D40=1000),ROUNDDOWN(ツアイベ計算!G43/1000,0),)</f>
        <v>0</v>
      </c>
      <c r="E44" t="s">
        <v>161</v>
      </c>
      <c r="G44" s="7">
        <f>G43-(C44*D44)</f>
        <v>0</v>
      </c>
      <c r="H44" t="s">
        <v>132</v>
      </c>
    </row>
    <row r="45" spans="1:8">
      <c r="C45">
        <v>500</v>
      </c>
      <c r="D45" s="7">
        <f>IF(OR(D43&gt;=1,D44&gt;=1,イベント開始時!D40=500),ROUNDDOWN(ツアイベ計算!G44/ツアイベ計算!C45,0),)</f>
        <v>0</v>
      </c>
      <c r="E45" t="s">
        <v>161</v>
      </c>
      <c r="G45" s="7">
        <f>G44-(C45*D45)</f>
        <v>0</v>
      </c>
      <c r="H45" t="s">
        <v>132</v>
      </c>
    </row>
    <row r="46" spans="1:8">
      <c r="C46">
        <v>100</v>
      </c>
      <c r="D46" s="7">
        <f>ROUNDDOWN(G45/100,0)</f>
        <v>0</v>
      </c>
      <c r="E46" t="s">
        <v>161</v>
      </c>
      <c r="G46" s="7">
        <f>G45-(C46*D46)</f>
        <v>0</v>
      </c>
      <c r="H46" t="s">
        <v>132</v>
      </c>
    </row>
    <row r="47" spans="1:8">
      <c r="C47" t="s">
        <v>162</v>
      </c>
      <c r="D47" s="7">
        <f>SUM(D43:D46)</f>
        <v>0</v>
      </c>
      <c r="E47" t="s">
        <v>161</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66887-C76C-FF4A-985F-758CC7435C84}">
  <dimension ref="A1:H49"/>
  <sheetViews>
    <sheetView workbookViewId="0">
      <selection activeCell="D18" sqref="D18"/>
    </sheetView>
  </sheetViews>
  <sheetFormatPr baseColWidth="10" defaultRowHeight="20"/>
  <cols>
    <col min="1" max="1" width="23" customWidth="1"/>
    <col min="2" max="3" width="17.42578125" customWidth="1"/>
    <col min="4" max="4" width="17.42578125" style="10" customWidth="1"/>
    <col min="5" max="5" width="13.7109375" customWidth="1"/>
    <col min="6" max="7" width="17.42578125" customWidth="1"/>
  </cols>
  <sheetData>
    <row r="1" spans="1:8">
      <c r="B1" t="s">
        <v>5</v>
      </c>
      <c r="C1" t="s">
        <v>33</v>
      </c>
    </row>
    <row r="2" spans="1:8">
      <c r="B2">
        <v>3</v>
      </c>
      <c r="C2">
        <v>20</v>
      </c>
    </row>
    <row r="3" spans="1:8">
      <c r="B3">
        <v>6</v>
      </c>
      <c r="C3">
        <v>30</v>
      </c>
    </row>
    <row r="4" spans="1:8">
      <c r="B4">
        <v>10</v>
      </c>
      <c r="C4">
        <v>40</v>
      </c>
    </row>
    <row r="6" spans="1:8">
      <c r="G6" t="s">
        <v>146</v>
      </c>
    </row>
    <row r="7" spans="1:8">
      <c r="A7" t="s">
        <v>148</v>
      </c>
      <c r="D7" s="7">
        <f>(途中経過用!E3-途中経過用!E5)*10000</f>
        <v>0</v>
      </c>
      <c r="E7" t="s">
        <v>32</v>
      </c>
    </row>
    <row r="8" spans="1:8">
      <c r="A8" t="s">
        <v>149</v>
      </c>
      <c r="D8" s="7">
        <f>D31*ROUNDDOWN(途中経過用!E7/100,)</f>
        <v>0</v>
      </c>
      <c r="E8" t="s">
        <v>32</v>
      </c>
      <c r="G8" s="7">
        <f>G31*ROUNDDOWN(途中経過用!E7/100,)</f>
        <v>0</v>
      </c>
      <c r="H8" t="s">
        <v>32</v>
      </c>
    </row>
    <row r="9" spans="1:8">
      <c r="A9" t="s">
        <v>150</v>
      </c>
      <c r="D9" s="6">
        <f>D7-D8</f>
        <v>0</v>
      </c>
      <c r="E9" t="s">
        <v>32</v>
      </c>
      <c r="G9" s="21">
        <f>D7-G8</f>
        <v>0</v>
      </c>
      <c r="H9" t="s">
        <v>32</v>
      </c>
    </row>
    <row r="13" spans="1:8">
      <c r="A13" t="s">
        <v>61</v>
      </c>
      <c r="B13" t="s">
        <v>62</v>
      </c>
      <c r="D13" s="7">
        <f>2500*途中経過用!E24</f>
        <v>0</v>
      </c>
      <c r="E13" t="s">
        <v>32</v>
      </c>
    </row>
    <row r="14" spans="1:8">
      <c r="B14" t="s">
        <v>1</v>
      </c>
      <c r="D14" s="7">
        <f>ROUNDDOWN(途中経過用!E11*10000*0.02%,0)*途中経過用!E24</f>
        <v>0</v>
      </c>
      <c r="E14" t="s">
        <v>32</v>
      </c>
    </row>
    <row r="15" spans="1:8">
      <c r="B15" t="s">
        <v>65</v>
      </c>
      <c r="C15" s="5">
        <f>途中経過用!E18</f>
        <v>0</v>
      </c>
      <c r="D15" s="7">
        <f>ROUNDDOWN((D13+D14)*途中経過用!E18,0)</f>
        <v>0</v>
      </c>
      <c r="E15" t="s">
        <v>32</v>
      </c>
    </row>
    <row r="16" spans="1:8">
      <c r="B16" t="s">
        <v>66</v>
      </c>
      <c r="D16" s="6">
        <f>SUM(D13:D15)</f>
        <v>0</v>
      </c>
      <c r="E16" t="s">
        <v>32</v>
      </c>
      <c r="G16" s="7">
        <f>D13+D14</f>
        <v>0</v>
      </c>
      <c r="H16" t="s">
        <v>32</v>
      </c>
    </row>
    <row r="18" spans="1:8">
      <c r="A18" t="s">
        <v>58</v>
      </c>
      <c r="B18" t="s">
        <v>63</v>
      </c>
      <c r="D18" s="7">
        <f>2250*途中経過用!E25</f>
        <v>0</v>
      </c>
      <c r="E18" t="s">
        <v>32</v>
      </c>
    </row>
    <row r="19" spans="1:8">
      <c r="B19" t="s">
        <v>1</v>
      </c>
      <c r="D19" s="7">
        <f>ROUNDDOWN(途中経過用!E12*10000*0.02%,0)*途中経過用!E25</f>
        <v>0</v>
      </c>
      <c r="E19" t="s">
        <v>32</v>
      </c>
    </row>
    <row r="20" spans="1:8">
      <c r="B20" t="s">
        <v>67</v>
      </c>
      <c r="C20" s="5">
        <f>途中経過用!E20</f>
        <v>0</v>
      </c>
      <c r="D20" s="7">
        <f>(D18+D19)*途中経過用!E20</f>
        <v>0</v>
      </c>
      <c r="E20" t="s">
        <v>32</v>
      </c>
    </row>
    <row r="21" spans="1:8">
      <c r="B21" t="s">
        <v>64</v>
      </c>
      <c r="D21" s="7">
        <f>ROUNDDOWN((D18+D19+D20)*途中経過用!E15/100,)</f>
        <v>0</v>
      </c>
      <c r="E21" t="s">
        <v>32</v>
      </c>
    </row>
    <row r="22" spans="1:8">
      <c r="B22" t="s">
        <v>69</v>
      </c>
      <c r="D22" s="6">
        <f>SUM(D18:D21)</f>
        <v>0</v>
      </c>
      <c r="E22" t="s">
        <v>32</v>
      </c>
      <c r="G22" s="7">
        <f>ROUNDDOWN((D18+D19)*(1+途中経過用!E15/100),0)</f>
        <v>0</v>
      </c>
      <c r="H22" t="s">
        <v>32</v>
      </c>
    </row>
    <row r="24" spans="1:8">
      <c r="A24" t="s">
        <v>70</v>
      </c>
      <c r="B24" t="s">
        <v>5</v>
      </c>
      <c r="D24" s="7">
        <f>途中経過用!E24*3+途中経過用!E25</f>
        <v>0</v>
      </c>
      <c r="E24" t="s">
        <v>7</v>
      </c>
    </row>
    <row r="25" spans="1:8">
      <c r="B25" t="s">
        <v>71</v>
      </c>
      <c r="D25" s="6">
        <f>D16*3+D22</f>
        <v>0</v>
      </c>
      <c r="E25" t="s">
        <v>32</v>
      </c>
      <c r="G25" s="7">
        <f>G16*3+G22</f>
        <v>0</v>
      </c>
      <c r="H25" t="s">
        <v>32</v>
      </c>
    </row>
    <row r="27" spans="1:8">
      <c r="A27" t="s">
        <v>125</v>
      </c>
      <c r="B27" t="s">
        <v>130</v>
      </c>
      <c r="C27" t="s">
        <v>131</v>
      </c>
      <c r="D27" s="7">
        <f>D24*10</f>
        <v>0</v>
      </c>
      <c r="E27" t="s">
        <v>132</v>
      </c>
    </row>
    <row r="28" spans="1:8">
      <c r="B28" t="s">
        <v>133</v>
      </c>
      <c r="C28" t="s">
        <v>134</v>
      </c>
      <c r="D28" s="7">
        <v>10000</v>
      </c>
      <c r="E28" t="s">
        <v>32</v>
      </c>
    </row>
    <row r="29" spans="1:8">
      <c r="B29" t="s">
        <v>1</v>
      </c>
      <c r="C29" t="s">
        <v>134</v>
      </c>
      <c r="D29" s="7">
        <f>途中経過用!E13*2</f>
        <v>0</v>
      </c>
      <c r="E29" t="s">
        <v>32</v>
      </c>
    </row>
    <row r="30" spans="1:8">
      <c r="B30" t="s">
        <v>135</v>
      </c>
      <c r="C30" s="5">
        <f>途中経過用!E22</f>
        <v>0</v>
      </c>
      <c r="D30" s="7">
        <f>(D28+D29)*途中経過用!E22</f>
        <v>0</v>
      </c>
      <c r="E30" t="s">
        <v>32</v>
      </c>
    </row>
    <row r="31" spans="1:8">
      <c r="B31" t="s">
        <v>136</v>
      </c>
      <c r="C31" t="s">
        <v>134</v>
      </c>
      <c r="D31" s="6">
        <f>SUM(D28:D30)</f>
        <v>10000</v>
      </c>
      <c r="E31" t="s">
        <v>32</v>
      </c>
      <c r="G31" s="7">
        <f>SUM(D28:D29)</f>
        <v>10000</v>
      </c>
      <c r="H31" t="s">
        <v>32</v>
      </c>
    </row>
    <row r="32" spans="1:8">
      <c r="C32" t="s">
        <v>137</v>
      </c>
      <c r="D32" s="6">
        <f>D31*D27/100</f>
        <v>0</v>
      </c>
      <c r="E32" t="s">
        <v>138</v>
      </c>
      <c r="G32" s="7">
        <f>G31*D27/100</f>
        <v>0</v>
      </c>
      <c r="H32" t="s">
        <v>32</v>
      </c>
    </row>
    <row r="34" spans="1:8">
      <c r="A34" t="s">
        <v>139</v>
      </c>
      <c r="D34" s="6">
        <f>D25+D32</f>
        <v>0</v>
      </c>
      <c r="E34" t="s">
        <v>32</v>
      </c>
      <c r="G34" s="7">
        <f>G25+G32</f>
        <v>0</v>
      </c>
      <c r="H34" t="s">
        <v>32</v>
      </c>
    </row>
    <row r="36" spans="1:8">
      <c r="A36" t="s">
        <v>140</v>
      </c>
      <c r="D36" s="6">
        <f>IFERROR(ROUNDUP(D9/D34,0),)</f>
        <v>0</v>
      </c>
      <c r="E36" t="s">
        <v>141</v>
      </c>
      <c r="G36" s="7">
        <f>IFERROR(ROUNDUP(G9/'ツアイベ計算 (途中経過)'!G34,0),)</f>
        <v>0</v>
      </c>
      <c r="H36" t="s">
        <v>141</v>
      </c>
    </row>
    <row r="38" spans="1:8">
      <c r="A38" t="s">
        <v>142</v>
      </c>
      <c r="D38" s="6">
        <f>(D24*D36)*10</f>
        <v>0</v>
      </c>
      <c r="E38" t="s">
        <v>132</v>
      </c>
      <c r="G38" s="7">
        <f>(D24*G36)*10</f>
        <v>0</v>
      </c>
      <c r="H38" t="s">
        <v>132</v>
      </c>
    </row>
    <row r="40" spans="1:8">
      <c r="A40" t="s">
        <v>143</v>
      </c>
      <c r="D40" s="6">
        <f>D24*D36</f>
        <v>0</v>
      </c>
      <c r="E40" t="s">
        <v>7</v>
      </c>
      <c r="G40" s="7">
        <f>D24*G36</f>
        <v>0</v>
      </c>
      <c r="H40" t="s">
        <v>7</v>
      </c>
    </row>
    <row r="41" spans="1:8">
      <c r="C41" t="s">
        <v>144</v>
      </c>
      <c r="D41" s="6">
        <f>D40*2</f>
        <v>0</v>
      </c>
      <c r="E41" t="s">
        <v>145</v>
      </c>
      <c r="G41" s="7">
        <f>G40*2</f>
        <v>0</v>
      </c>
      <c r="H41" t="s">
        <v>145</v>
      </c>
    </row>
    <row r="44" spans="1:8">
      <c r="A44" t="s">
        <v>152</v>
      </c>
      <c r="B44" t="s">
        <v>158</v>
      </c>
      <c r="D44" s="7">
        <f>途中経過用!E7+D38</f>
        <v>0</v>
      </c>
      <c r="E44" t="s">
        <v>132</v>
      </c>
    </row>
    <row r="45" spans="1:8">
      <c r="B45" t="s">
        <v>159</v>
      </c>
      <c r="C45">
        <v>2000</v>
      </c>
      <c r="D45" s="7">
        <f>IF(途中経過用!D46=2000,ROUNDDOWN(D44/2000,0),)</f>
        <v>0</v>
      </c>
      <c r="E45" t="s">
        <v>161</v>
      </c>
      <c r="F45" t="s">
        <v>160</v>
      </c>
      <c r="G45" s="7">
        <f>D44-(C45*D45)</f>
        <v>0</v>
      </c>
      <c r="H45" t="s">
        <v>132</v>
      </c>
    </row>
    <row r="46" spans="1:8">
      <c r="C46">
        <v>1000</v>
      </c>
      <c r="D46" s="7">
        <f>IF(OR(D45&gt;=1,途中経過用!D46=1000),ROUNDDOWN(G45/1000,0),)</f>
        <v>0</v>
      </c>
      <c r="E46" t="s">
        <v>161</v>
      </c>
      <c r="G46" s="7">
        <f>G45-(C46*D46)</f>
        <v>0</v>
      </c>
      <c r="H46" t="s">
        <v>132</v>
      </c>
    </row>
    <row r="47" spans="1:8">
      <c r="C47">
        <v>500</v>
      </c>
      <c r="D47" s="7">
        <f>IF(OR(D45&gt;=1,D46&gt;=1,途中経過用!D46=500),ROUNDDOWN(G46/C47,0),)</f>
        <v>0</v>
      </c>
      <c r="E47" t="s">
        <v>161</v>
      </c>
      <c r="G47" s="7">
        <f>G46-(C47*D47)</f>
        <v>0</v>
      </c>
      <c r="H47" t="s">
        <v>132</v>
      </c>
    </row>
    <row r="48" spans="1:8">
      <c r="C48">
        <v>100</v>
      </c>
      <c r="D48" s="7">
        <f>ROUNDDOWN(G47/100,0)</f>
        <v>0</v>
      </c>
      <c r="E48" t="s">
        <v>161</v>
      </c>
      <c r="G48" s="7">
        <f>G47-(C48*D48)</f>
        <v>0</v>
      </c>
      <c r="H48" t="s">
        <v>132</v>
      </c>
    </row>
    <row r="49" spans="3:5">
      <c r="C49" t="s">
        <v>162</v>
      </c>
      <c r="D49" s="6">
        <f>SUM(D45:D48)</f>
        <v>0</v>
      </c>
      <c r="E49" t="s">
        <v>161</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はじめにお読みください </vt:lpstr>
      <vt:lpstr>特効計算</vt:lpstr>
      <vt:lpstr>イベント開始時</vt:lpstr>
      <vt:lpstr>途中経過用</vt:lpstr>
      <vt:lpstr>イベント進捗</vt:lpstr>
      <vt:lpstr>【参考】特効倍率 </vt:lpstr>
      <vt:lpstr>特効計算用</vt:lpstr>
      <vt:lpstr>ツアイベ計算</vt:lpstr>
      <vt:lpstr>ツアイベ計算 (途中経過)</vt:lpstr>
      <vt:lpstr>イベント進捗!Print_Area</vt:lpstr>
      <vt:lpstr>'はじめにお読みください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あんスタイベントダイヤ数計算</dc:title>
  <dc:subject/>
  <dc:creator>たちばな</dc:creator>
  <cp:keywords/>
  <dc:description/>
  <cp:lastModifiedBy>麻里 滝山</cp:lastModifiedBy>
  <dcterms:created xsi:type="dcterms:W3CDTF">2021-08-19T03:43:20Z</dcterms:created>
  <dcterms:modified xsi:type="dcterms:W3CDTF">2025-02-14T07:09:23Z</dcterms:modified>
  <cp:category/>
</cp:coreProperties>
</file>